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LIAL 141\Documents\"/>
    </mc:Choice>
  </mc:AlternateContent>
  <bookViews>
    <workbookView xWindow="0" yWindow="0" windowWidth="20490" windowHeight="7755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s 6 a 11" sheetId="6" r:id="rId6"/>
    <sheet name="grafico 1 e tabela 12" sheetId="7" r:id="rId7"/>
    <sheet name="tabela 13" sheetId="17" r:id="rId8"/>
    <sheet name="tabela 14" sheetId="19" r:id="rId9"/>
    <sheet name="tabela 15" sheetId="20" r:id="rId10"/>
    <sheet name="tabela 16" sheetId="21" r:id="rId11"/>
    <sheet name="tabela 17" sheetId="18" r:id="rId12"/>
    <sheet name="tabela 18" sheetId="8" r:id="rId13"/>
    <sheet name="tabela 19" sheetId="9" r:id="rId14"/>
    <sheet name="tabela 20" sheetId="10" r:id="rId15"/>
    <sheet name="tabela 21" sheetId="11" r:id="rId16"/>
    <sheet name="tabela 22" sheetId="12" r:id="rId17"/>
    <sheet name="grafico 2" sheetId="13" r:id="rId18"/>
    <sheet name="tabelas 23 a 25" sheetId="14" r:id="rId19"/>
    <sheet name="tabela 26" sheetId="15" r:id="rId20"/>
    <sheet name="graficos 3" sheetId="16" r:id="rId21"/>
    <sheet name="grafico 4" sheetId="24" r:id="rId22"/>
    <sheet name="grafico 5" sheetId="25" r:id="rId23"/>
  </sheets>
  <externalReferences>
    <externalReference r:id="rId24"/>
    <externalReference r:id="rId25"/>
    <externalReference r:id="rId2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5" l="1"/>
  <c r="C17" i="25"/>
  <c r="C16" i="25"/>
  <c r="C15" i="25"/>
  <c r="D14" i="25"/>
  <c r="C14" i="25"/>
  <c r="D13" i="25"/>
  <c r="C13" i="25"/>
  <c r="D12" i="25"/>
  <c r="C12" i="25"/>
  <c r="D11" i="25"/>
  <c r="C11" i="25"/>
  <c r="D10" i="25"/>
  <c r="C10" i="25"/>
  <c r="D9" i="25"/>
  <c r="C9" i="25"/>
  <c r="D8" i="25"/>
  <c r="C8" i="25"/>
  <c r="D7" i="25"/>
  <c r="C7" i="25"/>
  <c r="C6" i="25"/>
  <c r="D5" i="25"/>
  <c r="C5" i="25"/>
  <c r="D4" i="25"/>
  <c r="C4" i="25"/>
  <c r="D3" i="25"/>
  <c r="C3" i="25"/>
  <c r="B19" i="24"/>
  <c r="C18" i="24"/>
  <c r="C17" i="24"/>
  <c r="C16" i="24"/>
  <c r="D15" i="24"/>
  <c r="C15" i="24"/>
  <c r="D14" i="24"/>
  <c r="C14" i="24"/>
  <c r="D13" i="24"/>
  <c r="C13" i="24"/>
  <c r="D12" i="24"/>
  <c r="C12" i="24"/>
  <c r="D11" i="24"/>
  <c r="C11" i="24"/>
  <c r="D10" i="24"/>
  <c r="C10" i="24"/>
  <c r="D9" i="24"/>
  <c r="C9" i="24"/>
  <c r="D8" i="24"/>
  <c r="C8" i="24"/>
  <c r="C7" i="24"/>
  <c r="D6" i="24"/>
  <c r="C6" i="24"/>
  <c r="D5" i="24"/>
  <c r="C5" i="24"/>
  <c r="D4" i="24"/>
  <c r="C4" i="24"/>
  <c r="D19" i="24" l="1"/>
  <c r="D18" i="25"/>
  <c r="G11" i="17" l="1"/>
  <c r="F11" i="17"/>
  <c r="E11" i="17"/>
  <c r="D11" i="17"/>
  <c r="D20" i="16" l="1"/>
  <c r="B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F9" i="15"/>
  <c r="F8" i="15"/>
  <c r="F10" i="15" s="1"/>
  <c r="F7" i="15"/>
  <c r="M32" i="14"/>
  <c r="L32" i="14"/>
  <c r="K32" i="14"/>
  <c r="J32" i="14"/>
  <c r="J33" i="14" s="1"/>
  <c r="I32" i="14"/>
  <c r="H32" i="14"/>
  <c r="G32" i="14"/>
  <c r="F32" i="14"/>
  <c r="F33" i="14" s="1"/>
  <c r="E32" i="14"/>
  <c r="M31" i="14"/>
  <c r="L31" i="14"/>
  <c r="K31" i="14"/>
  <c r="J31" i="14"/>
  <c r="I31" i="14"/>
  <c r="H31" i="14"/>
  <c r="G31" i="14"/>
  <c r="F31" i="14"/>
  <c r="E31" i="14"/>
  <c r="M30" i="14"/>
  <c r="M33" i="14" s="1"/>
  <c r="L30" i="14"/>
  <c r="K30" i="14"/>
  <c r="J30" i="14"/>
  <c r="I30" i="14"/>
  <c r="I33" i="14" s="1"/>
  <c r="H30" i="14"/>
  <c r="G30" i="14"/>
  <c r="F30" i="14"/>
  <c r="E30" i="14"/>
  <c r="E33" i="14" s="1"/>
  <c r="M21" i="14"/>
  <c r="L21" i="14"/>
  <c r="K21" i="14"/>
  <c r="J21" i="14"/>
  <c r="I21" i="14"/>
  <c r="H21" i="14"/>
  <c r="G21" i="14"/>
  <c r="F21" i="14"/>
  <c r="E21" i="14"/>
  <c r="M10" i="14"/>
  <c r="L10" i="14"/>
  <c r="K10" i="14"/>
  <c r="J10" i="14"/>
  <c r="I10" i="14"/>
  <c r="H10" i="14"/>
  <c r="G10" i="14"/>
  <c r="F10" i="14"/>
  <c r="E10" i="14"/>
  <c r="E9" i="13"/>
  <c r="F6" i="13" s="1"/>
  <c r="F17" i="13"/>
  <c r="E18" i="13"/>
  <c r="F15" i="13" s="1"/>
  <c r="D37" i="13"/>
  <c r="C37" i="13"/>
  <c r="I28" i="13"/>
  <c r="J28" i="13" s="1"/>
  <c r="G28" i="13"/>
  <c r="E28" i="13"/>
  <c r="H27" i="13"/>
  <c r="H26" i="13"/>
  <c r="H25" i="13"/>
  <c r="F25" i="13"/>
  <c r="H24" i="13"/>
  <c r="H28" i="13" s="1"/>
  <c r="G6" i="11"/>
  <c r="E6" i="11"/>
  <c r="G5" i="11"/>
  <c r="E5" i="11"/>
  <c r="E7" i="11" s="1"/>
  <c r="G4" i="11"/>
  <c r="G7" i="11" s="1"/>
  <c r="E4" i="11"/>
  <c r="G14" i="10"/>
  <c r="G13" i="10"/>
  <c r="G12" i="10"/>
  <c r="G11" i="10"/>
  <c r="G10" i="10"/>
  <c r="G9" i="10"/>
  <c r="G8" i="10"/>
  <c r="H7" i="10"/>
  <c r="G7" i="10"/>
  <c r="H13" i="9"/>
  <c r="H12" i="9"/>
  <c r="H11" i="9"/>
  <c r="H10" i="9"/>
  <c r="H9" i="9"/>
  <c r="H8" i="9"/>
  <c r="H7" i="9"/>
  <c r="H6" i="9"/>
  <c r="H33" i="14" l="1"/>
  <c r="G33" i="14"/>
  <c r="L33" i="14"/>
  <c r="K33" i="14"/>
  <c r="F27" i="13"/>
  <c r="F28" i="13"/>
  <c r="F16" i="13"/>
  <c r="F8" i="13"/>
  <c r="J25" i="13"/>
  <c r="F26" i="13"/>
  <c r="F18" i="13"/>
  <c r="F7" i="13"/>
  <c r="F9" i="13"/>
  <c r="J24" i="13"/>
  <c r="J27" i="13"/>
  <c r="F24" i="13"/>
  <c r="J26" i="13"/>
  <c r="L13" i="7" l="1"/>
  <c r="K13" i="7"/>
  <c r="J13" i="7"/>
  <c r="I13" i="7"/>
  <c r="H13" i="7"/>
  <c r="G13" i="7"/>
  <c r="F13" i="7"/>
  <c r="E13" i="7"/>
  <c r="D13" i="7"/>
  <c r="M12" i="7"/>
  <c r="M11" i="7"/>
  <c r="M10" i="7"/>
  <c r="M9" i="7"/>
  <c r="M8" i="7"/>
  <c r="M7" i="7"/>
  <c r="R16" i="7"/>
  <c r="Q16" i="7"/>
  <c r="S15" i="7"/>
  <c r="S14" i="7"/>
  <c r="S13" i="7"/>
  <c r="S12" i="7"/>
  <c r="S11" i="7"/>
  <c r="S10" i="7"/>
  <c r="G59" i="6"/>
  <c r="H58" i="6" s="1"/>
  <c r="E59" i="6"/>
  <c r="F58" i="6" s="1"/>
  <c r="I58" i="6"/>
  <c r="I57" i="6"/>
  <c r="F57" i="6"/>
  <c r="I56" i="6"/>
  <c r="F56" i="6"/>
  <c r="G49" i="6"/>
  <c r="H48" i="6" s="1"/>
  <c r="E49" i="6"/>
  <c r="I48" i="6"/>
  <c r="F48" i="6"/>
  <c r="I47" i="6"/>
  <c r="F47" i="6"/>
  <c r="I46" i="6"/>
  <c r="F46" i="6"/>
  <c r="F49" i="6" s="1"/>
  <c r="G40" i="6"/>
  <c r="E40" i="6"/>
  <c r="F37" i="6" s="1"/>
  <c r="I39" i="6"/>
  <c r="H39" i="6"/>
  <c r="I38" i="6"/>
  <c r="H38" i="6"/>
  <c r="I37" i="6"/>
  <c r="H37" i="6"/>
  <c r="H40" i="6" s="1"/>
  <c r="G31" i="6"/>
  <c r="H30" i="6" s="1"/>
  <c r="E31" i="6"/>
  <c r="I30" i="6"/>
  <c r="F30" i="6"/>
  <c r="I29" i="6"/>
  <c r="F29" i="6"/>
  <c r="I28" i="6"/>
  <c r="I31" i="6" s="1"/>
  <c r="F28" i="6"/>
  <c r="F31" i="6" s="1"/>
  <c r="G21" i="6"/>
  <c r="E21" i="6"/>
  <c r="F19" i="6" s="1"/>
  <c r="F21" i="6" s="1"/>
  <c r="I20" i="6"/>
  <c r="H20" i="6"/>
  <c r="F20" i="6"/>
  <c r="I19" i="6"/>
  <c r="H19" i="6"/>
  <c r="I18" i="6"/>
  <c r="I21" i="6" s="1"/>
  <c r="H18" i="6"/>
  <c r="H21" i="6" s="1"/>
  <c r="F18" i="6"/>
  <c r="G12" i="6"/>
  <c r="H11" i="6" s="1"/>
  <c r="E12" i="6"/>
  <c r="F11" i="6" s="1"/>
  <c r="I11" i="6"/>
  <c r="I10" i="6"/>
  <c r="F10" i="6"/>
  <c r="I9" i="6"/>
  <c r="I12" i="6" s="1"/>
  <c r="F7" i="5"/>
  <c r="D7" i="5"/>
  <c r="H7" i="5" s="1"/>
  <c r="F6" i="5"/>
  <c r="D6" i="5"/>
  <c r="F5" i="5"/>
  <c r="F8" i="5" s="1"/>
  <c r="G6" i="5" s="1"/>
  <c r="D5" i="5"/>
  <c r="H5" i="5" s="1"/>
  <c r="G10" i="4"/>
  <c r="L13" i="3"/>
  <c r="K13" i="3"/>
  <c r="J13" i="3"/>
  <c r="I13" i="3"/>
  <c r="H13" i="3"/>
  <c r="G13" i="3"/>
  <c r="F13" i="3"/>
  <c r="E13" i="3"/>
  <c r="D13" i="3"/>
  <c r="K12" i="2"/>
  <c r="J12" i="2"/>
  <c r="H12" i="2"/>
  <c r="G12" i="2"/>
  <c r="F12" i="2"/>
  <c r="E12" i="2"/>
  <c r="D12" i="2"/>
  <c r="C12" i="2"/>
  <c r="S16" i="7" l="1"/>
  <c r="F9" i="6"/>
  <c r="F12" i="6" s="1"/>
  <c r="I40" i="6"/>
  <c r="J39" i="6" s="1"/>
  <c r="F39" i="6"/>
  <c r="H56" i="6"/>
  <c r="J10" i="6"/>
  <c r="J48" i="6"/>
  <c r="J11" i="6"/>
  <c r="F38" i="6"/>
  <c r="F40" i="6" s="1"/>
  <c r="I59" i="6"/>
  <c r="J56" i="6" s="1"/>
  <c r="F59" i="6"/>
  <c r="J9" i="6"/>
  <c r="I49" i="6"/>
  <c r="J46" i="6" s="1"/>
  <c r="J30" i="6"/>
  <c r="J20" i="6"/>
  <c r="J19" i="6"/>
  <c r="J18" i="6"/>
  <c r="J29" i="6"/>
  <c r="J58" i="6"/>
  <c r="H9" i="6"/>
  <c r="H10" i="6"/>
  <c r="J28" i="6"/>
  <c r="H46" i="6"/>
  <c r="H47" i="6"/>
  <c r="H57" i="6"/>
  <c r="H59" i="6" s="1"/>
  <c r="H28" i="6"/>
  <c r="H29" i="6"/>
  <c r="E6" i="5"/>
  <c r="G7" i="5"/>
  <c r="H6" i="5"/>
  <c r="H8" i="5" s="1"/>
  <c r="D8" i="5"/>
  <c r="G5" i="5"/>
  <c r="G8" i="5" s="1"/>
  <c r="J37" i="6" l="1"/>
  <c r="J47" i="6"/>
  <c r="J57" i="6"/>
  <c r="J38" i="6"/>
  <c r="H12" i="6"/>
  <c r="H31" i="6"/>
  <c r="H49" i="6"/>
  <c r="I5" i="5"/>
  <c r="I7" i="5"/>
  <c r="E7" i="5"/>
  <c r="E5" i="5"/>
  <c r="E8" i="5" s="1"/>
  <c r="I6" i="5"/>
</calcChain>
</file>

<file path=xl/sharedStrings.xml><?xml version="1.0" encoding="utf-8"?>
<sst xmlns="http://schemas.openxmlformats.org/spreadsheetml/2006/main" count="905" uniqueCount="226">
  <si>
    <t>Tabela 1. Taxa de fecundidade total Indígenas da família linguística Guarani, segundo Povo Indígena, Paraguai, 2012</t>
  </si>
  <si>
    <t>Mbya</t>
  </si>
  <si>
    <t>Ava Guarani</t>
  </si>
  <si>
    <t>Paï Tavyterã</t>
  </si>
  <si>
    <t>Guarani Ñandeva</t>
  </si>
  <si>
    <t>Guarani Occidental</t>
  </si>
  <si>
    <t>Aché</t>
  </si>
  <si>
    <t>Todos os indígenas</t>
  </si>
  <si>
    <t>Fonte: STP/DGEEC. III Censo Nacional de Población y Viviendas para Pueblos Indígenas 2012.</t>
  </si>
  <si>
    <t>Povo (Família linguistica Guarani)</t>
  </si>
  <si>
    <t>População total</t>
  </si>
  <si>
    <t>População nascida no Paraguai</t>
  </si>
  <si>
    <t>País ou região de nascimento</t>
  </si>
  <si>
    <t>Não declarado</t>
  </si>
  <si>
    <t>População nascida no exterior</t>
  </si>
  <si>
    <t>Argentina</t>
  </si>
  <si>
    <t>Bolivia</t>
  </si>
  <si>
    <t>Brasil</t>
  </si>
  <si>
    <t>Resto do mundo</t>
  </si>
  <si>
    <t>País não declarado</t>
  </si>
  <si>
    <t>Ava Guaraní</t>
  </si>
  <si>
    <t>-</t>
  </si>
  <si>
    <t>Ache</t>
  </si>
  <si>
    <t>Guaraní Occidental</t>
  </si>
  <si>
    <t>Mbya Guaraní</t>
  </si>
  <si>
    <t>Paĩ Tavyterã</t>
  </si>
  <si>
    <t>Guaraní Ñandéva</t>
  </si>
  <si>
    <t>Total</t>
  </si>
  <si>
    <t>Fonte: DGEEC. III Censo Nacional Indígena de Población y Viviendas, 2012.</t>
  </si>
  <si>
    <t>Tabela 2. População indígena por país de nascimento, segundo povo da família linguística Guarani, Paraguai, 2012</t>
  </si>
  <si>
    <t>Povos (Família Linguistica Guarani)</t>
  </si>
  <si>
    <t>Área e sexo</t>
  </si>
  <si>
    <t>Urbana</t>
  </si>
  <si>
    <t>Rural</t>
  </si>
  <si>
    <t>Homens</t>
  </si>
  <si>
    <t>Mulheres</t>
  </si>
  <si>
    <t>Tabela 4. População Guarani por ano Censitário e grupos Guarani no Paraguai, 1981 a 2012</t>
  </si>
  <si>
    <t>Grupos Guarani</t>
  </si>
  <si>
    <t>Avá Guaraní</t>
  </si>
  <si>
    <t>Paî Tavytera</t>
  </si>
  <si>
    <t>Guaraní Ñandeva</t>
  </si>
  <si>
    <t>Tabela 5. População indígena da família linguística Guarani, por sexo, segundo grandes grupos de idade - Paraguai - 2012</t>
  </si>
  <si>
    <t>Grupos de idade</t>
  </si>
  <si>
    <t>Homem</t>
  </si>
  <si>
    <t>%</t>
  </si>
  <si>
    <t>Mulher</t>
  </si>
  <si>
    <t xml:space="preserve"> 0 a 14 anos</t>
  </si>
  <si>
    <t xml:space="preserve"> 15 a 49 anos</t>
  </si>
  <si>
    <t xml:space="preserve"> 50 anos e +</t>
  </si>
  <si>
    <t>Fonte: DGEEC.III Censo Nacional Indígena de Población y Viviendas, 2012</t>
  </si>
  <si>
    <t>População indígena Ava Guarani, por sexo, segundo grandes grupos de idade - Paraguai - 2012</t>
  </si>
  <si>
    <t>Tabela 6 População indígena Ava Guarani, por sexo, segundo grandes grupos de idade - Paraguai - 2012.</t>
  </si>
  <si>
    <t>Tabela 7. População indígena Guarani Occidental, por sexo, segundo grandes grupos de idade - Paraguai - 2012.</t>
  </si>
  <si>
    <t>Tabela 8. População indígena Aché, por sexo, segundo grandes grupos de idade - Paraguai - 2012.</t>
  </si>
  <si>
    <t>Tabela 9. População indígena Mbya Guarani, por sexo, segundo grandes grupos de idade - Paraguai - 2012.</t>
  </si>
  <si>
    <t>Tabela 10. População indígena Paï/Tavyterã, por sexo, segundo grandes grupos de idade - Paraguai - 2012.</t>
  </si>
  <si>
    <t>Tabela 11. População indígena Guarani Ñandéva, por sexo, segundo grandes grupos de idade - Paraguai - 2012.</t>
  </si>
  <si>
    <t>Povos Guarani</t>
  </si>
  <si>
    <t xml:space="preserve">Homem </t>
  </si>
  <si>
    <t>Razão de Sexo</t>
  </si>
  <si>
    <t>PARAGUAY: POBLACIÓN INDÍGENA POR AÑO CENSAL Y SEXO, SEGÚN ETNIA, 1981-1992-2002</t>
  </si>
  <si>
    <t>PARAGUAY: POPULAÇÃO INDÍGENA POR ANO CENSAL E SEXO, SEGUNDO ETNIA, 1981-1992-2002</t>
  </si>
  <si>
    <t>FAMÍLIA LINGÜÍSTICA</t>
  </si>
  <si>
    <t>ETNIA</t>
  </si>
  <si>
    <t>ANO 1981 (a)</t>
  </si>
  <si>
    <t>ANO 1992</t>
  </si>
  <si>
    <t>ANO 2002 (b)</t>
  </si>
  <si>
    <t xml:space="preserve">TOTAL </t>
  </si>
  <si>
    <t>HOMENS</t>
  </si>
  <si>
    <t xml:space="preserve">MULHERES </t>
  </si>
  <si>
    <t>1. GUARANI</t>
  </si>
  <si>
    <t>Guaraní Oc.</t>
  </si>
  <si>
    <t>Avá G</t>
  </si>
  <si>
    <t>Mbyá</t>
  </si>
  <si>
    <t xml:space="preserve">Páî  </t>
  </si>
  <si>
    <t xml:space="preserve">G Ñandéva </t>
  </si>
  <si>
    <t>TOTAL</t>
  </si>
  <si>
    <t xml:space="preserve">Fonte: II Censo Nacional Indígena de Población y Viviendas 2002 - DGEEC </t>
  </si>
  <si>
    <t>obs.:a) En el Censo 1981 la etnia Nivaclé incluye 5 personas de Mataco.</t>
  </si>
  <si>
    <t>b) Para obtener el resultado total de la población censada en el Censo Nacional Indígena 2002,</t>
  </si>
  <si>
    <t>se debe sumar la población indígena más la no indígena que vive en comunidades</t>
  </si>
  <si>
    <t>Tabela 12. Povos indigenas da família linguística Guarani, segundo Povo Indigena e Razão de Sexo. Paraguai, 2012.</t>
  </si>
  <si>
    <t>Brasil e Unidades da Federação</t>
  </si>
  <si>
    <t>Mato Grosso do Sul</t>
  </si>
  <si>
    <t>São Paulo</t>
  </si>
  <si>
    <t>Paraná</t>
  </si>
  <si>
    <t>Rio Grande do Sul</t>
  </si>
  <si>
    <t>Santa Catarina</t>
  </si>
  <si>
    <t>Rio de Janeiro</t>
  </si>
  <si>
    <t>Espírito Santo</t>
  </si>
  <si>
    <t>Fonte: IBGE, Censo Demográfico, 2010.</t>
  </si>
  <si>
    <t>Tabela 18: População indígena guarani, por situação do domicílio, segundo as Unidades da Federação - Brasil – 2010</t>
  </si>
  <si>
    <t>Tabela 19: População indígena guarani, razão de sexo, segundo as Unidades da Federação - Brasil – 2010</t>
  </si>
  <si>
    <t>Tabela 20. População indígena guarani, por tipo de etnia, segundo as Unidades da Federação - Brasil – 2010</t>
  </si>
  <si>
    <t>Unidades da Federação</t>
  </si>
  <si>
    <t>Guarani Kaiowá</t>
  </si>
  <si>
    <t>Guarani Nhandeva</t>
  </si>
  <si>
    <t>Guarani Mbya</t>
  </si>
  <si>
    <t>Fonte: IBGE, Censo Demográfico 2010.</t>
  </si>
  <si>
    <t>Tabela 21. População indígena guarani, por sexo, segundo grandes grupos de idade - Brasil - 2010</t>
  </si>
  <si>
    <t>Tabela 22. População indígena guarani, por situação do domicílio e sexo, segundo grandes grupos de idade - Brasil- 2010</t>
  </si>
  <si>
    <t>Situação do domicilio e Sexo</t>
  </si>
  <si>
    <t>Paraguay: estrutura por grandes grupos de edades de la populacion indígena, 2002</t>
  </si>
  <si>
    <t>población indígena</t>
  </si>
  <si>
    <t>guarani</t>
  </si>
  <si>
    <t>grupos de edad</t>
  </si>
  <si>
    <t>pop indígena Py</t>
  </si>
  <si>
    <t>Guarani Py</t>
  </si>
  <si>
    <t>0-14</t>
  </si>
  <si>
    <t>15-49</t>
  </si>
  <si>
    <t>50 e +</t>
  </si>
  <si>
    <t>total</t>
  </si>
  <si>
    <t xml:space="preserve">Fuente: DGEEC. Segundo Censo Nacional Indígena de Población y Viviendas, 2002 </t>
  </si>
  <si>
    <t>Brasil: estrutura por grandes grupos de edades de la populacion indígena, 2008</t>
  </si>
  <si>
    <t>población indígena Br</t>
  </si>
  <si>
    <t>Guarani Br</t>
  </si>
  <si>
    <t>Fuente: SIASI - FUNASA/MS, 04/11/2011</t>
  </si>
  <si>
    <t>15-29</t>
  </si>
  <si>
    <t>30-64</t>
  </si>
  <si>
    <t>65 e +</t>
  </si>
  <si>
    <t>Distribuição proporcional por grandes grupos de idades dos Guarani no Paraguai e Brasil, 2012 (PY) e 2010 (BR)</t>
  </si>
  <si>
    <t>Guarani BR</t>
  </si>
  <si>
    <t>Guarani PY</t>
  </si>
  <si>
    <t>Fonte: IBGE, Censo Demográfico, 2010 e STP/DGEEC. III Censo Nacional de Población y Viviendas para Pueblos Indígenas 2012.</t>
  </si>
  <si>
    <t>Tabela 23. População guarani kaiowá, por situação do domicílio e sexo, segundo grande grupos de idade - Brasil - 2010</t>
  </si>
  <si>
    <t>Grandes grupos de idade</t>
  </si>
  <si>
    <t>Situação do domicílio e sexo</t>
  </si>
  <si>
    <t>0-14 anos</t>
  </si>
  <si>
    <t>15-49 anos</t>
  </si>
  <si>
    <t>50 anos e +</t>
  </si>
  <si>
    <t>Tabela 24. População guarani mbya, por situação do domicílio e sexo, segundo grande grupos de idade - Brasil - 2010</t>
  </si>
  <si>
    <t>Tabela 25. População guarani ñandeva*, por situação do domicílio e sexo, segundo grande grupos de idade - Brasil - 2010</t>
  </si>
  <si>
    <t>Fonte: IBGE, Censo Demográfico 2010. *Estão incluidos os Guarani sem especificação.</t>
  </si>
  <si>
    <t>Tabela 26. População indígena guarani, por situação do domicílio e sexo, segundo grupos de idade - Mato Grosso do Sul - 2010</t>
  </si>
  <si>
    <t>0 a 14 anos</t>
  </si>
  <si>
    <t>15 a 49 anos</t>
  </si>
  <si>
    <t>Grupo etário</t>
  </si>
  <si>
    <t>MULHER</t>
  </si>
  <si>
    <t>HOMEM</t>
  </si>
  <si>
    <t>00 a 04 anos</t>
  </si>
  <si>
    <t>05 a 09 anos</t>
  </si>
  <si>
    <t>10 a 14 anos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</si>
  <si>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</si>
  <si>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</si>
  <si>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</si>
  <si>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</si>
  <si>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</si>
  <si>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</si>
  <si>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</si>
  <si>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</si>
  <si>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</si>
  <si>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</si>
  <si>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</si>
  <si>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anos e +</t>
  </si>
  <si>
    <t>Departamento</t>
  </si>
  <si>
    <t>Caaguazú</t>
  </si>
  <si>
    <t>Caazapa</t>
  </si>
  <si>
    <t>Guairá</t>
  </si>
  <si>
    <t>Itapúa</t>
  </si>
  <si>
    <t>Alto Paraná</t>
  </si>
  <si>
    <t>Tabela 13. População Mbya Guarani por sexo e quantidade de domicílios particulares e coletivos segundo Departamento, Paraguai, 2012.</t>
  </si>
  <si>
    <r>
      <rPr>
        <b/>
        <sz val="9"/>
        <rFont val="Times New Roman"/>
        <family val="1"/>
      </rPr>
      <t>Fonte:</t>
    </r>
    <r>
      <rPr>
        <sz val="9"/>
        <rFont val="Times New Roman"/>
        <family val="1"/>
      </rPr>
      <t xml:space="preserve"> DGEEC. III Censo Nacional de Población y Viviendas para Pueblos Indígenas, 2012.</t>
    </r>
  </si>
  <si>
    <t>Quantidade de domicílios particulares e coletivos</t>
  </si>
  <si>
    <t>População</t>
  </si>
  <si>
    <t>Población nacida en otro país</t>
  </si>
  <si>
    <t>Lugar de nacimiento no reportado</t>
  </si>
  <si>
    <t>Asunción</t>
  </si>
  <si>
    <t>Concepción</t>
  </si>
  <si>
    <t>San Pedro</t>
  </si>
  <si>
    <t>Cordillera</t>
  </si>
  <si>
    <t>Caazapá</t>
  </si>
  <si>
    <t>Misiones</t>
  </si>
  <si>
    <t>Paraguarí</t>
  </si>
  <si>
    <t>Central</t>
  </si>
  <si>
    <t>Amambay</t>
  </si>
  <si>
    <t>Canindeyú</t>
  </si>
  <si>
    <t>Departamento no reportado</t>
  </si>
  <si>
    <t>0 a 4 anos</t>
  </si>
  <si>
    <t>População Mbya Guaraní nascida no Paraguai</t>
  </si>
  <si>
    <t>5 a 9 anos</t>
  </si>
  <si>
    <t>65 anos e mais</t>
  </si>
  <si>
    <t xml:space="preserve">Total  </t>
  </si>
  <si>
    <t>Total mulheres</t>
  </si>
  <si>
    <t>Estando gestante</t>
  </si>
  <si>
    <t>Durante o parto</t>
  </si>
  <si>
    <t>Até dois meses depois do parto</t>
  </si>
  <si>
    <t>Causa de morte</t>
  </si>
  <si>
    <t>Outra causa</t>
  </si>
  <si>
    <t xml:space="preserve">Grupos de idade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</si>
  <si>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 a 14 anos</t>
  </si>
  <si>
    <t>Não informado</t>
  </si>
  <si>
    <t>Causa não informada</t>
  </si>
  <si>
    <t>Tabela 15. Mulheres Mbya Guarani de 12 a 49 anos de idade por causas de morte em 2011, segundo grupos de idade, Paraguai, 2012.</t>
  </si>
  <si>
    <t>Número de mulheres</t>
  </si>
  <si>
    <t>Com filhos nascidos vivos no último ano</t>
  </si>
  <si>
    <t>Grupos de idade da mulher</t>
  </si>
  <si>
    <t>Sem filhos nascidos vivos no último ano</t>
  </si>
  <si>
    <t>Sem data de nascimento do último filho nascido vivo</t>
  </si>
  <si>
    <t>Número de filhos nascidos vivos no último ano</t>
  </si>
  <si>
    <t>Mulheres de 12 a 49 anos</t>
  </si>
  <si>
    <t>Nenhum</t>
  </si>
  <si>
    <t>Educação Especial</t>
  </si>
  <si>
    <t>Programas de Alfabetização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</si>
  <si>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</si>
  <si>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</si>
  <si>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</si>
  <si>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</si>
  <si>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</si>
  <si>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</si>
  <si>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</si>
  <si>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</si>
  <si>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</si>
  <si>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Pré-primário</t>
  </si>
  <si>
    <t>Grau não informado</t>
  </si>
  <si>
    <t>média grau aprovado</t>
  </si>
  <si>
    <t>EEB (3º Ciclo)</t>
  </si>
  <si>
    <t>Ensino médio</t>
  </si>
  <si>
    <t>média curso aprovado</t>
  </si>
  <si>
    <t>nível e último grau/curso aprovado</t>
  </si>
  <si>
    <t>EEB (1º e 2º ciclo)</t>
  </si>
  <si>
    <t xml:space="preserve">Ens. Superior </t>
  </si>
  <si>
    <t>média anos de estudo aprovado</t>
  </si>
  <si>
    <t>Tabela 16. Mulheres Mbya Guaraní de 12 a 49 anos de idade que declararam fecundidade por filhos nascidos vivos no último ano, segundo grupos de idade da mulher, Paraguai, 2012.</t>
  </si>
  <si>
    <t>Tabela 17. População Mbya Guarani de 5 anos e mais de idade que frequenta atualmente a uma instituição de ensino formal por grupos de idade, segundo nível e último grau/curso aprovado, Paraguai, 2012.</t>
  </si>
  <si>
    <t>Tabela 14: Mbya Guaraní  por lugar de nascimento, segundo grupos de idade, Paraguai, 2012.</t>
  </si>
  <si>
    <t>Tabela 3. População indígena por área urbana e rural e sexo, segundo povo, Paraguai,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</si>
</sst>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"/>
    <numFmt numFmtId="165" formatCode="_-* #,##0\ _€_-;\-* #,##0\ _€_-;_-* &quot;-&quot;??\ _€_-;_-@_-"/>
    <numFmt numFmtId="166" formatCode="0.0"/>
    <numFmt numFmtId="167" formatCode="_(* #,##0_);_(* \(#,##0\);_(* &quot;-&quot;??_);_(@_)"/>
    <numFmt numFmtId="168" formatCode="_-* #,##0_-;\-* #,##0_-;_-* &quot;-&quot;??_-;_-@_-"/>
    <numFmt numFmtId="173" formatCode="_-* #,##0.00\ _€_-;\-* #,##0.00\ _€_-;_-* &quot;-&quot;??\ _€_-;_-@_-"/>
    <numFmt numFmtId="174" formatCode="#,##0_ ;[Red]\-#,##0\ "/>
    <numFmt numFmtId="175" formatCode="_-* #,##0.0\ _€_-;\-* #,##0.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rgb="FFFF0000"/>
      <name val="Times New Roman"/>
      <family val="1"/>
    </font>
    <font>
      <sz val="12"/>
      <color rgb="FF000000"/>
      <name val="Calibri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theme="5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94">
    <xf numFmtId="0" fontId="0" fillId="0" borderId="0" xfId="0"/>
    <xf numFmtId="0" fontId="4" fillId="2" borderId="1" xfId="0" applyFont="1" applyFill="1" applyBorder="1"/>
    <xf numFmtId="164" fontId="4" fillId="2" borderId="1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0" fontId="7" fillId="2" borderId="0" xfId="0" applyFont="1" applyFill="1" applyBorder="1" applyAlignment="1">
      <alignment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165" fontId="7" fillId="2" borderId="2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 indent="2"/>
    </xf>
    <xf numFmtId="165" fontId="8" fillId="2" borderId="0" xfId="0" applyNumberFormat="1" applyFont="1" applyFill="1" applyBorder="1"/>
    <xf numFmtId="0" fontId="8" fillId="2" borderId="0" xfId="0" applyFont="1" applyFill="1" applyBorder="1"/>
    <xf numFmtId="0" fontId="5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 wrapText="1"/>
    </xf>
    <xf numFmtId="165" fontId="6" fillId="2" borderId="14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top" wrapText="1"/>
    </xf>
    <xf numFmtId="165" fontId="6" fillId="2" borderId="1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wrapText="1"/>
    </xf>
    <xf numFmtId="3" fontId="7" fillId="2" borderId="0" xfId="1" applyNumberFormat="1" applyFont="1" applyFill="1" applyBorder="1" applyAlignment="1">
      <alignment horizontal="right" wrapText="1"/>
    </xf>
    <xf numFmtId="3" fontId="8" fillId="2" borderId="0" xfId="0" applyNumberFormat="1" applyFont="1" applyFill="1"/>
    <xf numFmtId="0" fontId="1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wrapText="1"/>
    </xf>
    <xf numFmtId="3" fontId="8" fillId="2" borderId="2" xfId="0" applyNumberFormat="1" applyFont="1" applyFill="1" applyBorder="1"/>
    <xf numFmtId="165" fontId="4" fillId="2" borderId="2" xfId="1" applyNumberFormat="1" applyFont="1" applyFill="1" applyBorder="1" applyAlignment="1">
      <alignment horizontal="left" wrapText="1"/>
    </xf>
    <xf numFmtId="3" fontId="7" fillId="2" borderId="2" xfId="1" applyNumberFormat="1" applyFont="1" applyFill="1" applyBorder="1" applyAlignment="1">
      <alignment horizontal="right" wrapText="1"/>
    </xf>
    <xf numFmtId="0" fontId="8" fillId="2" borderId="2" xfId="0" applyFont="1" applyFill="1" applyBorder="1"/>
    <xf numFmtId="3" fontId="4" fillId="2" borderId="1" xfId="0" applyNumberFormat="1" applyFont="1" applyFill="1" applyBorder="1"/>
    <xf numFmtId="3" fontId="4" fillId="2" borderId="0" xfId="0" applyNumberFormat="1" applyFont="1" applyFill="1" applyBorder="1"/>
    <xf numFmtId="3" fontId="4" fillId="2" borderId="2" xfId="0" applyNumberFormat="1" applyFont="1" applyFill="1" applyBorder="1"/>
    <xf numFmtId="0" fontId="8" fillId="2" borderId="0" xfId="0" applyFont="1" applyFill="1"/>
    <xf numFmtId="0" fontId="4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7" fillId="2" borderId="0" xfId="0" applyNumberFormat="1" applyFont="1" applyFill="1" applyBorder="1"/>
    <xf numFmtId="10" fontId="4" fillId="2" borderId="0" xfId="0" applyNumberFormat="1" applyFont="1" applyFill="1" applyBorder="1"/>
    <xf numFmtId="3" fontId="7" fillId="2" borderId="2" xfId="0" applyNumberFormat="1" applyFont="1" applyFill="1" applyBorder="1"/>
    <xf numFmtId="10" fontId="4" fillId="2" borderId="2" xfId="0" applyNumberFormat="1" applyFont="1" applyFill="1" applyBorder="1"/>
    <xf numFmtId="3" fontId="6" fillId="2" borderId="2" xfId="0" applyNumberFormat="1" applyFont="1" applyFill="1" applyBorder="1"/>
    <xf numFmtId="10" fontId="8" fillId="2" borderId="2" xfId="0" applyNumberFormat="1" applyFont="1" applyFill="1" applyBorder="1"/>
    <xf numFmtId="0" fontId="7" fillId="2" borderId="0" xfId="0" applyFont="1" applyFill="1"/>
    <xf numFmtId="0" fontId="4" fillId="2" borderId="0" xfId="0" applyFont="1" applyFill="1"/>
    <xf numFmtId="10" fontId="4" fillId="2" borderId="0" xfId="0" applyNumberFormat="1" applyFont="1" applyFill="1"/>
    <xf numFmtId="0" fontId="4" fillId="0" borderId="0" xfId="0" applyFont="1"/>
    <xf numFmtId="0" fontId="7" fillId="0" borderId="0" xfId="0" applyFont="1"/>
    <xf numFmtId="0" fontId="4" fillId="0" borderId="0" xfId="0" applyFont="1" applyFill="1"/>
    <xf numFmtId="0" fontId="0" fillId="0" borderId="0" xfId="0" applyFont="1"/>
    <xf numFmtId="3" fontId="7" fillId="2" borderId="0" xfId="1" applyNumberFormat="1" applyFont="1" applyFill="1" applyBorder="1" applyAlignment="1">
      <alignment horizontal="right"/>
    </xf>
    <xf numFmtId="3" fontId="7" fillId="2" borderId="2" xfId="1" applyNumberFormat="1" applyFont="1" applyFill="1" applyBorder="1" applyAlignment="1">
      <alignment horizontal="right"/>
    </xf>
    <xf numFmtId="0" fontId="0" fillId="0" borderId="0" xfId="0" applyFont="1" applyFill="1"/>
    <xf numFmtId="3" fontId="11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0" fillId="3" borderId="18" xfId="0" applyFill="1" applyBorder="1"/>
    <xf numFmtId="0" fontId="13" fillId="3" borderId="0" xfId="0" applyFont="1" applyFill="1"/>
    <xf numFmtId="0" fontId="13" fillId="0" borderId="3" xfId="0" applyFont="1" applyBorder="1"/>
    <xf numFmtId="0" fontId="4" fillId="2" borderId="28" xfId="0" applyFont="1" applyFill="1" applyBorder="1"/>
    <xf numFmtId="166" fontId="4" fillId="2" borderId="1" xfId="0" applyNumberFormat="1" applyFont="1" applyFill="1" applyBorder="1"/>
    <xf numFmtId="0" fontId="0" fillId="2" borderId="0" xfId="0" applyFill="1" applyBorder="1"/>
    <xf numFmtId="166" fontId="4" fillId="2" borderId="0" xfId="0" applyNumberFormat="1" applyFont="1" applyFill="1" applyBorder="1"/>
    <xf numFmtId="166" fontId="4" fillId="2" borderId="2" xfId="0" applyNumberFormat="1" applyFont="1" applyFill="1" applyBorder="1"/>
    <xf numFmtId="3" fontId="8" fillId="2" borderId="0" xfId="0" applyNumberFormat="1" applyFont="1" applyFill="1" applyBorder="1"/>
    <xf numFmtId="166" fontId="4" fillId="2" borderId="0" xfId="0" applyNumberFormat="1" applyFont="1" applyFill="1"/>
    <xf numFmtId="0" fontId="12" fillId="3" borderId="17" xfId="0" applyFont="1" applyFill="1" applyBorder="1"/>
    <xf numFmtId="0" fontId="0" fillId="3" borderId="19" xfId="0" applyFill="1" applyBorder="1"/>
    <xf numFmtId="0" fontId="12" fillId="4" borderId="33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4" borderId="35" xfId="0" applyFont="1" applyFill="1" applyBorder="1" applyAlignment="1">
      <alignment horizontal="center"/>
    </xf>
    <xf numFmtId="0" fontId="13" fillId="0" borderId="30" xfId="0" applyFont="1" applyBorder="1"/>
    <xf numFmtId="3" fontId="13" fillId="0" borderId="30" xfId="0" applyNumberFormat="1" applyFont="1" applyBorder="1" applyAlignment="1">
      <alignment horizontal="center"/>
    </xf>
    <xf numFmtId="3" fontId="13" fillId="0" borderId="31" xfId="0" applyNumberFormat="1" applyFont="1" applyBorder="1" applyAlignment="1">
      <alignment horizontal="center"/>
    </xf>
    <xf numFmtId="166" fontId="0" fillId="0" borderId="0" xfId="0" applyNumberFormat="1"/>
    <xf numFmtId="3" fontId="13" fillId="0" borderId="3" xfId="0" applyNumberFormat="1" applyFont="1" applyBorder="1" applyAlignment="1">
      <alignment horizontal="center"/>
    </xf>
    <xf numFmtId="3" fontId="13" fillId="0" borderId="23" xfId="0" applyNumberFormat="1" applyFont="1" applyBorder="1" applyAlignment="1">
      <alignment horizontal="center"/>
    </xf>
    <xf numFmtId="0" fontId="13" fillId="0" borderId="21" xfId="0" applyFont="1" applyBorder="1"/>
    <xf numFmtId="3" fontId="13" fillId="0" borderId="21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13" fillId="0" borderId="26" xfId="0" applyFont="1" applyBorder="1"/>
    <xf numFmtId="0" fontId="0" fillId="0" borderId="25" xfId="0" applyBorder="1"/>
    <xf numFmtId="3" fontId="12" fillId="0" borderId="26" xfId="0" applyNumberFormat="1" applyFont="1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2" xfId="0" applyFont="1" applyFill="1" applyBorder="1"/>
    <xf numFmtId="3" fontId="7" fillId="2" borderId="2" xfId="0" applyNumberFormat="1" applyFont="1" applyFill="1" applyBorder="1" applyAlignment="1">
      <alignment horizontal="right"/>
    </xf>
    <xf numFmtId="49" fontId="10" fillId="2" borderId="0" xfId="0" applyNumberFormat="1" applyFont="1" applyFill="1" applyBorder="1" applyAlignment="1">
      <alignment horizontal="left"/>
    </xf>
    <xf numFmtId="0" fontId="11" fillId="2" borderId="0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1" fontId="4" fillId="2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4" fillId="2" borderId="0" xfId="0" applyNumberFormat="1" applyFont="1" applyFill="1"/>
    <xf numFmtId="0" fontId="14" fillId="0" borderId="1" xfId="0" applyFont="1" applyBorder="1" applyAlignment="1"/>
    <xf numFmtId="0" fontId="0" fillId="0" borderId="1" xfId="0" applyBorder="1" applyAlignment="1"/>
    <xf numFmtId="0" fontId="14" fillId="0" borderId="1" xfId="0" applyFont="1" applyBorder="1" applyAlignment="1">
      <alignment wrapText="1"/>
    </xf>
    <xf numFmtId="0" fontId="14" fillId="0" borderId="2" xfId="0" applyFont="1" applyBorder="1" applyAlignment="1"/>
    <xf numFmtId="0" fontId="0" fillId="0" borderId="2" xfId="0" applyBorder="1" applyAlignment="1"/>
    <xf numFmtId="0" fontId="0" fillId="0" borderId="0" xfId="0" applyBorder="1"/>
    <xf numFmtId="3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3" fontId="0" fillId="0" borderId="0" xfId="0" applyNumberFormat="1"/>
    <xf numFmtId="0" fontId="15" fillId="0" borderId="0" xfId="0" applyFont="1" applyBorder="1"/>
    <xf numFmtId="0" fontId="16" fillId="0" borderId="0" xfId="0" applyFont="1"/>
    <xf numFmtId="0" fontId="14" fillId="0" borderId="28" xfId="0" applyFont="1" applyBorder="1"/>
    <xf numFmtId="3" fontId="14" fillId="0" borderId="28" xfId="0" applyNumberFormat="1" applyFont="1" applyBorder="1" applyAlignment="1">
      <alignment horizontal="center"/>
    </xf>
    <xf numFmtId="10" fontId="14" fillId="0" borderId="28" xfId="2" applyNumberFormat="1" applyFont="1" applyBorder="1" applyAlignment="1">
      <alignment horizontal="center"/>
    </xf>
    <xf numFmtId="167" fontId="14" fillId="0" borderId="28" xfId="0" applyNumberFormat="1" applyFont="1" applyBorder="1" applyAlignment="1">
      <alignment horizontal="center"/>
    </xf>
    <xf numFmtId="0" fontId="14" fillId="0" borderId="0" xfId="0" applyFont="1"/>
    <xf numFmtId="0" fontId="14" fillId="0" borderId="36" xfId="0" applyFont="1" applyBorder="1" applyAlignment="1"/>
    <xf numFmtId="0" fontId="0" fillId="0" borderId="36" xfId="0" applyBorder="1" applyAlignment="1"/>
    <xf numFmtId="0" fontId="0" fillId="0" borderId="37" xfId="0" applyBorder="1" applyAlignment="1"/>
    <xf numFmtId="0" fontId="14" fillId="0" borderId="4" xfId="0" applyFont="1" applyBorder="1" applyAlignment="1">
      <alignment wrapText="1"/>
    </xf>
    <xf numFmtId="0" fontId="14" fillId="0" borderId="12" xfId="0" applyFont="1" applyBorder="1" applyAlignment="1"/>
    <xf numFmtId="0" fontId="0" fillId="0" borderId="12" xfId="0" applyBorder="1" applyAlignment="1">
      <alignment horizontal="center"/>
    </xf>
    <xf numFmtId="0" fontId="0" fillId="0" borderId="38" xfId="0" applyBorder="1" applyAlignment="1"/>
    <xf numFmtId="0" fontId="0" fillId="0" borderId="39" xfId="0" applyBorder="1"/>
    <xf numFmtId="3" fontId="0" fillId="0" borderId="0" xfId="0" applyNumberFormat="1" applyBorder="1"/>
    <xf numFmtId="10" fontId="0" fillId="0" borderId="0" xfId="2" applyNumberFormat="1" applyFont="1" applyBorder="1"/>
    <xf numFmtId="10" fontId="0" fillId="0" borderId="40" xfId="2" applyNumberFormat="1" applyFont="1" applyBorder="1"/>
    <xf numFmtId="0" fontId="14" fillId="0" borderId="17" xfId="0" applyFont="1" applyBorder="1"/>
    <xf numFmtId="3" fontId="14" fillId="0" borderId="18" xfId="0" applyNumberFormat="1" applyFont="1" applyBorder="1"/>
    <xf numFmtId="10" fontId="14" fillId="0" borderId="18" xfId="2" applyNumberFormat="1" applyFont="1" applyBorder="1"/>
    <xf numFmtId="167" fontId="14" fillId="0" borderId="18" xfId="1" applyNumberFormat="1" applyFont="1" applyBorder="1"/>
    <xf numFmtId="10" fontId="14" fillId="0" borderId="19" xfId="2" applyNumberFormat="1" applyFont="1" applyBorder="1"/>
    <xf numFmtId="0" fontId="14" fillId="0" borderId="0" xfId="0" applyFont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4" fillId="2" borderId="28" xfId="0" applyFont="1" applyFill="1" applyBorder="1" applyAlignment="1">
      <alignment horizontal="center" vertical="center" wrapText="1"/>
    </xf>
    <xf numFmtId="168" fontId="4" fillId="2" borderId="0" xfId="1" applyNumberFormat="1" applyFont="1" applyFill="1" applyBorder="1"/>
    <xf numFmtId="168" fontId="4" fillId="2" borderId="2" xfId="0" applyNumberFormat="1" applyFont="1" applyFill="1" applyBorder="1"/>
    <xf numFmtId="168" fontId="4" fillId="2" borderId="1" xfId="1" applyNumberFormat="1" applyFont="1" applyFill="1" applyBorder="1"/>
    <xf numFmtId="0" fontId="7" fillId="2" borderId="28" xfId="0" applyFont="1" applyFill="1" applyBorder="1" applyAlignment="1">
      <alignment horizontal="center"/>
    </xf>
    <xf numFmtId="10" fontId="7" fillId="2" borderId="0" xfId="0" applyNumberFormat="1" applyFont="1" applyFill="1" applyBorder="1"/>
    <xf numFmtId="10" fontId="7" fillId="2" borderId="2" xfId="0" applyNumberFormat="1" applyFont="1" applyFill="1" applyBorder="1"/>
    <xf numFmtId="0" fontId="6" fillId="2" borderId="0" xfId="0" applyFont="1" applyFill="1"/>
    <xf numFmtId="3" fontId="6" fillId="2" borderId="0" xfId="0" applyNumberFormat="1" applyFont="1" applyFill="1"/>
    <xf numFmtId="10" fontId="6" fillId="2" borderId="0" xfId="0" applyNumberFormat="1" applyFont="1" applyFill="1"/>
    <xf numFmtId="49" fontId="11" fillId="2" borderId="0" xfId="0" applyNumberFormat="1" applyFont="1" applyFill="1" applyAlignment="1">
      <alignment horizontal="left"/>
    </xf>
    <xf numFmtId="0" fontId="11" fillId="2" borderId="0" xfId="0" applyFont="1" applyFill="1"/>
    <xf numFmtId="0" fontId="18" fillId="0" borderId="3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8" fillId="0" borderId="3" xfId="0" applyFont="1" applyBorder="1" applyAlignment="1">
      <alignment horizontal="right" wrapText="1"/>
    </xf>
    <xf numFmtId="0" fontId="18" fillId="0" borderId="3" xfId="0" applyFont="1" applyBorder="1"/>
    <xf numFmtId="0" fontId="2" fillId="0" borderId="0" xfId="0" applyFont="1"/>
    <xf numFmtId="0" fontId="5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10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11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5" fontId="6" fillId="2" borderId="8" xfId="1" applyNumberFormat="1" applyFont="1" applyFill="1" applyBorder="1" applyAlignment="1">
      <alignment horizontal="center" vertical="center" wrapText="1"/>
    </xf>
    <xf numFmtId="165" fontId="6" fillId="2" borderId="9" xfId="1" applyNumberFormat="1" applyFont="1" applyFill="1" applyBorder="1" applyAlignment="1">
      <alignment horizontal="center" vertical="center" wrapText="1"/>
    </xf>
    <xf numFmtId="165" fontId="6" fillId="2" borderId="15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4" borderId="29" xfId="0" applyFont="1" applyFill="1" applyBorder="1" applyAlignment="1">
      <alignment horizontal="center"/>
    </xf>
    <xf numFmtId="0" fontId="12" fillId="4" borderId="3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7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49" fontId="10" fillId="2" borderId="0" xfId="0" applyNumberFormat="1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67" fontId="11" fillId="2" borderId="1" xfId="3" applyNumberFormat="1" applyFont="1" applyFill="1" applyBorder="1" applyAlignment="1">
      <alignment horizontal="left" vertical="center"/>
    </xf>
    <xf numFmtId="167" fontId="11" fillId="2" borderId="1" xfId="3" applyNumberFormat="1" applyFont="1" applyFill="1" applyBorder="1" applyAlignment="1">
      <alignment vertical="center" wrapText="1"/>
    </xf>
    <xf numFmtId="167" fontId="11" fillId="2" borderId="0" xfId="3" applyNumberFormat="1" applyFont="1" applyFill="1" applyBorder="1" applyAlignment="1">
      <alignment horizontal="left" vertical="center"/>
    </xf>
    <xf numFmtId="167" fontId="11" fillId="2" borderId="0" xfId="3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7" fontId="11" fillId="2" borderId="2" xfId="3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167" fontId="20" fillId="2" borderId="0" xfId="3" applyNumberFormat="1" applyFont="1" applyFill="1" applyBorder="1" applyAlignment="1">
      <alignment vertical="center" wrapText="1"/>
    </xf>
    <xf numFmtId="174" fontId="21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165" fontId="20" fillId="2" borderId="0" xfId="3" applyNumberFormat="1" applyFont="1" applyFill="1" applyBorder="1" applyAlignment="1">
      <alignment horizontal="center" vertical="center" wrapText="1"/>
    </xf>
    <xf numFmtId="165" fontId="20" fillId="2" borderId="2" xfId="3" applyNumberFormat="1" applyFont="1" applyFill="1" applyBorder="1" applyAlignment="1">
      <alignment horizontal="center" vertical="center" wrapText="1"/>
    </xf>
    <xf numFmtId="165" fontId="11" fillId="2" borderId="0" xfId="3" applyNumberFormat="1" applyFont="1" applyFill="1" applyBorder="1" applyAlignment="1">
      <alignment horizontal="center" vertical="center" textRotation="90" wrapText="1"/>
    </xf>
    <xf numFmtId="165" fontId="11" fillId="2" borderId="2" xfId="3" applyNumberFormat="1" applyFont="1" applyFill="1" applyBorder="1" applyAlignment="1">
      <alignment horizontal="center" vertical="center" textRotation="90" wrapText="1"/>
    </xf>
    <xf numFmtId="165" fontId="11" fillId="2" borderId="2" xfId="3" applyNumberFormat="1" applyFont="1" applyFill="1" applyBorder="1" applyAlignment="1">
      <alignment horizontal="center" vertical="center" textRotation="90" wrapText="1"/>
    </xf>
    <xf numFmtId="165" fontId="20" fillId="2" borderId="0" xfId="3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indent="2"/>
    </xf>
    <xf numFmtId="165" fontId="23" fillId="2" borderId="0" xfId="3" applyNumberFormat="1" applyFont="1" applyFill="1" applyBorder="1" applyAlignment="1">
      <alignment horizontal="right" vertical="center" wrapText="1"/>
    </xf>
    <xf numFmtId="165" fontId="23" fillId="2" borderId="2" xfId="3" applyNumberFormat="1" applyFont="1" applyFill="1" applyBorder="1" applyAlignment="1">
      <alignment horizontal="right" vertical="center" wrapText="1"/>
    </xf>
    <xf numFmtId="174" fontId="21" fillId="2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49" fontId="20" fillId="2" borderId="0" xfId="3" applyNumberFormat="1" applyFont="1" applyFill="1" applyBorder="1" applyAlignment="1">
      <alignment horizontal="center" vertical="center" wrapText="1"/>
    </xf>
    <xf numFmtId="49" fontId="20" fillId="2" borderId="2" xfId="3" applyNumberFormat="1" applyFont="1" applyFill="1" applyBorder="1" applyAlignment="1">
      <alignment horizontal="center" vertical="center" wrapText="1"/>
    </xf>
    <xf numFmtId="165" fontId="20" fillId="2" borderId="2" xfId="3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165" fontId="24" fillId="2" borderId="0" xfId="3" applyNumberFormat="1" applyFont="1" applyFill="1" applyBorder="1" applyAlignment="1">
      <alignment horizontal="right" wrapText="1"/>
    </xf>
    <xf numFmtId="165" fontId="20" fillId="2" borderId="0" xfId="3" applyNumberFormat="1" applyFont="1" applyFill="1" applyBorder="1" applyAlignment="1">
      <alignment horizontal="right" wrapText="1"/>
    </xf>
    <xf numFmtId="165" fontId="11" fillId="2" borderId="0" xfId="3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indent="2"/>
    </xf>
    <xf numFmtId="165" fontId="11" fillId="2" borderId="2" xfId="3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left" vertical="center" indent="2"/>
    </xf>
    <xf numFmtId="174" fontId="21" fillId="2" borderId="0" xfId="0" applyNumberFormat="1" applyFont="1" applyFill="1" applyBorder="1" applyAlignment="1">
      <alignment vertical="center"/>
    </xf>
    <xf numFmtId="3" fontId="20" fillId="2" borderId="28" xfId="0" applyNumberFormat="1" applyFont="1" applyFill="1" applyBorder="1" applyAlignment="1">
      <alignment horizontal="left" vertical="center" wrapText="1" indent="2"/>
    </xf>
    <xf numFmtId="165" fontId="20" fillId="2" borderId="28" xfId="3" applyNumberFormat="1" applyFont="1" applyFill="1" applyBorder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right" wrapText="1"/>
    </xf>
    <xf numFmtId="165" fontId="23" fillId="2" borderId="1" xfId="3" applyNumberFormat="1" applyFont="1" applyFill="1" applyBorder="1" applyAlignment="1">
      <alignment horizontal="right" wrapText="1"/>
    </xf>
    <xf numFmtId="165" fontId="11" fillId="2" borderId="0" xfId="3" applyNumberFormat="1" applyFont="1" applyFill="1" applyBorder="1" applyAlignment="1">
      <alignment horizontal="right" wrapText="1"/>
    </xf>
    <xf numFmtId="165" fontId="23" fillId="2" borderId="0" xfId="3" applyNumberFormat="1" applyFont="1" applyFill="1" applyBorder="1" applyAlignment="1">
      <alignment horizontal="right" wrapText="1"/>
    </xf>
    <xf numFmtId="165" fontId="11" fillId="2" borderId="2" xfId="3" applyNumberFormat="1" applyFont="1" applyFill="1" applyBorder="1" applyAlignment="1">
      <alignment horizontal="right" wrapText="1"/>
    </xf>
    <xf numFmtId="165" fontId="23" fillId="2" borderId="2" xfId="3" applyNumberFormat="1" applyFont="1" applyFill="1" applyBorder="1" applyAlignment="1">
      <alignment horizontal="right" wrapText="1"/>
    </xf>
    <xf numFmtId="0" fontId="18" fillId="0" borderId="3" xfId="0" applyFont="1" applyFill="1" applyBorder="1"/>
    <xf numFmtId="0" fontId="18" fillId="0" borderId="0" xfId="0" applyFont="1"/>
    <xf numFmtId="0" fontId="18" fillId="0" borderId="0" xfId="0" applyFont="1" applyFill="1" applyBorder="1" applyAlignment="1">
      <alignment wrapText="1"/>
    </xf>
    <xf numFmtId="0" fontId="2" fillId="0" borderId="0" xfId="0" applyFont="1" applyFill="1"/>
    <xf numFmtId="0" fontId="25" fillId="0" borderId="0" xfId="0" applyFont="1" applyFill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right" wrapText="1"/>
    </xf>
    <xf numFmtId="0" fontId="26" fillId="0" borderId="3" xfId="0" applyFont="1" applyFill="1" applyBorder="1"/>
    <xf numFmtId="0" fontId="26" fillId="0" borderId="3" xfId="0" applyFont="1" applyBorder="1"/>
    <xf numFmtId="0" fontId="27" fillId="0" borderId="0" xfId="0" applyFont="1" applyFill="1" applyBorder="1" applyAlignment="1">
      <alignment wrapText="1"/>
    </xf>
    <xf numFmtId="0" fontId="0" fillId="0" borderId="0" xfId="0" applyFill="1"/>
    <xf numFmtId="0" fontId="15" fillId="0" borderId="0" xfId="0" applyFont="1" applyFill="1"/>
    <xf numFmtId="0" fontId="15" fillId="0" borderId="0" xfId="0" applyFont="1"/>
    <xf numFmtId="0" fontId="20" fillId="2" borderId="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5" fontId="24" fillId="2" borderId="28" xfId="3" applyNumberFormat="1" applyFont="1" applyFill="1" applyBorder="1" applyAlignment="1">
      <alignment horizontal="left" vertical="center" wrapText="1" indent="1"/>
    </xf>
    <xf numFmtId="165" fontId="24" fillId="2" borderId="28" xfId="3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wrapText="1" indent="2"/>
    </xf>
    <xf numFmtId="0" fontId="23" fillId="2" borderId="0" xfId="0" applyFont="1" applyFill="1" applyBorder="1" applyAlignment="1">
      <alignment horizontal="left" wrapText="1" indent="2"/>
    </xf>
    <xf numFmtId="0" fontId="23" fillId="2" borderId="0" xfId="0" applyFont="1" applyFill="1" applyBorder="1" applyAlignment="1">
      <alignment horizontal="left" wrapText="1" indent="4"/>
    </xf>
    <xf numFmtId="0" fontId="24" fillId="2" borderId="0" xfId="0" applyFont="1" applyFill="1" applyBorder="1" applyAlignment="1">
      <alignment horizontal="left" wrapText="1" indent="2"/>
    </xf>
    <xf numFmtId="175" fontId="24" fillId="2" borderId="0" xfId="3" applyNumberFormat="1" applyFont="1" applyFill="1" applyBorder="1" applyAlignment="1">
      <alignment horizontal="right" wrapText="1"/>
    </xf>
    <xf numFmtId="175" fontId="24" fillId="2" borderId="0" xfId="0" applyNumberFormat="1" applyFont="1" applyFill="1" applyBorder="1" applyAlignment="1">
      <alignment horizontal="right" wrapText="1"/>
    </xf>
    <xf numFmtId="0" fontId="24" fillId="2" borderId="2" xfId="0" applyFont="1" applyFill="1" applyBorder="1" applyAlignment="1">
      <alignment horizontal="left" wrapText="1" indent="2"/>
    </xf>
    <xf numFmtId="175" fontId="24" fillId="2" borderId="2" xfId="3" applyNumberFormat="1" applyFont="1" applyFill="1" applyBorder="1" applyAlignment="1">
      <alignment horizontal="right" wrapText="1"/>
    </xf>
    <xf numFmtId="175" fontId="24" fillId="2" borderId="2" xfId="0" applyNumberFormat="1" applyFont="1" applyFill="1" applyBorder="1" applyAlignment="1">
      <alignment horizontal="right" wrapText="1"/>
    </xf>
  </cellXfs>
  <cellStyles count="4">
    <cellStyle name="Normal" xfId="0" builtinId="0"/>
    <cellStyle name="Porcentagem" xfId="2" builtinId="5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>
                <a:latin typeface="Times New Roman" panose="02020603050405020304" pitchFamily="18" charset="0"/>
                <a:cs typeface="Times New Roman" panose="02020603050405020304" pitchFamily="18" charset="0"/>
              </a:rPr>
              <a:t> Gráfico 1. Povos indigenas da família linguistica Guarani, segundo Povo Indígena e Razão de Sexo - Paraguai, 1981 - 1992 - 2002 - 2012.</a:t>
            </a:r>
          </a:p>
        </c:rich>
      </c:tx>
      <c:layout>
        <c:manualLayout>
          <c:xMode val="edge"/>
          <c:yMode val="edge"/>
          <c:x val="8.0127330604820371E-2"/>
          <c:y val="1.2447111732809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68382383453517"/>
          <c:y val="0.18130721464694963"/>
          <c:w val="0.72487895388268808"/>
          <c:h val="0.5366498943729594"/>
        </c:manualLayout>
      </c:layout>
      <c:lineChart>
        <c:grouping val="standard"/>
        <c:varyColors val="0"/>
        <c:ser>
          <c:idx val="1"/>
          <c:order val="0"/>
          <c:tx>
            <c:v>1981</c:v>
          </c:tx>
          <c:cat>
            <c:strRef>
              <c:f>[1]Plan1!$C$44:$C$49</c:f>
              <c:strCache>
                <c:ptCount val="6"/>
                <c:pt idx="0">
                  <c:v>Guaraní Oc.</c:v>
                </c:pt>
                <c:pt idx="1">
                  <c:v>Aché</c:v>
                </c:pt>
                <c:pt idx="2">
                  <c:v>Avá G</c:v>
                </c:pt>
                <c:pt idx="3">
                  <c:v>Mbyá</c:v>
                </c:pt>
                <c:pt idx="4">
                  <c:v>Páî  </c:v>
                </c:pt>
                <c:pt idx="5">
                  <c:v>G Ñandéva </c:v>
                </c:pt>
              </c:strCache>
            </c:strRef>
          </c:cat>
          <c:val>
            <c:numRef>
              <c:f>[1]Plan1!$O$44:$O$49</c:f>
              <c:numCache>
                <c:formatCode>General</c:formatCode>
                <c:ptCount val="6"/>
                <c:pt idx="0">
                  <c:v>105.0420168067227</c:v>
                </c:pt>
                <c:pt idx="1">
                  <c:v>110.61452513966481</c:v>
                </c:pt>
                <c:pt idx="2">
                  <c:v>110.08403361344538</c:v>
                </c:pt>
                <c:pt idx="3">
                  <c:v>119.44692239072256</c:v>
                </c:pt>
                <c:pt idx="4">
                  <c:v>107.74999999999999</c:v>
                </c:pt>
                <c:pt idx="5">
                  <c:v>98.449612403100772</c:v>
                </c:pt>
              </c:numCache>
            </c:numRef>
          </c:val>
          <c:smooth val="0"/>
        </c:ser>
        <c:ser>
          <c:idx val="0"/>
          <c:order val="1"/>
          <c:tx>
            <c:v>1992</c:v>
          </c:tx>
          <c:cat>
            <c:strRef>
              <c:f>[1]Plan1!$C$44:$C$49</c:f>
              <c:strCache>
                <c:ptCount val="6"/>
                <c:pt idx="0">
                  <c:v>Guaraní Oc.</c:v>
                </c:pt>
                <c:pt idx="1">
                  <c:v>Aché</c:v>
                </c:pt>
                <c:pt idx="2">
                  <c:v>Avá G</c:v>
                </c:pt>
                <c:pt idx="3">
                  <c:v>Mbyá</c:v>
                </c:pt>
                <c:pt idx="4">
                  <c:v>Páî  </c:v>
                </c:pt>
                <c:pt idx="5">
                  <c:v>G Ñandéva </c:v>
                </c:pt>
              </c:strCache>
            </c:strRef>
          </c:cat>
          <c:val>
            <c:numRef>
              <c:f>[1]Plan1!$N$44:$N$49</c:f>
              <c:numCache>
                <c:formatCode>General</c:formatCode>
                <c:ptCount val="6"/>
                <c:pt idx="0">
                  <c:v>96.551724137931032</c:v>
                </c:pt>
                <c:pt idx="1">
                  <c:v>118.83561643835617</c:v>
                </c:pt>
                <c:pt idx="2">
                  <c:v>107.68537976583607</c:v>
                </c:pt>
                <c:pt idx="3">
                  <c:v>108.25285338015804</c:v>
                </c:pt>
                <c:pt idx="4">
                  <c:v>106.43004115226337</c:v>
                </c:pt>
                <c:pt idx="5">
                  <c:v>107.37797956867196</c:v>
                </c:pt>
              </c:numCache>
            </c:numRef>
          </c:val>
          <c:smooth val="0"/>
        </c:ser>
        <c:ser>
          <c:idx val="2"/>
          <c:order val="2"/>
          <c:tx>
            <c:v>2002</c:v>
          </c:tx>
          <c:cat>
            <c:strRef>
              <c:f>[1]Plan1!$C$44:$C$49</c:f>
              <c:strCache>
                <c:ptCount val="6"/>
                <c:pt idx="0">
                  <c:v>Guaraní Oc.</c:v>
                </c:pt>
                <c:pt idx="1">
                  <c:v>Aché</c:v>
                </c:pt>
                <c:pt idx="2">
                  <c:v>Avá G</c:v>
                </c:pt>
                <c:pt idx="3">
                  <c:v>Mbyá</c:v>
                </c:pt>
                <c:pt idx="4">
                  <c:v>Páî  </c:v>
                </c:pt>
                <c:pt idx="5">
                  <c:v>G Ñandéva </c:v>
                </c:pt>
              </c:strCache>
            </c:strRef>
          </c:cat>
          <c:val>
            <c:numRef>
              <c:f>[1]Plan1!$M$44:$M$49</c:f>
              <c:numCache>
                <c:formatCode>General</c:formatCode>
                <c:ptCount val="6"/>
                <c:pt idx="0">
                  <c:v>101.4018691588785</c:v>
                </c:pt>
                <c:pt idx="1">
                  <c:v>109.50704225352112</c:v>
                </c:pt>
                <c:pt idx="2">
                  <c:v>108.60515688101896</c:v>
                </c:pt>
                <c:pt idx="3">
                  <c:v>109.59906350599941</c:v>
                </c:pt>
                <c:pt idx="4">
                  <c:v>104.07148407148408</c:v>
                </c:pt>
                <c:pt idx="5">
                  <c:v>107.31452455590387</c:v>
                </c:pt>
              </c:numCache>
            </c:numRef>
          </c:val>
          <c:smooth val="0"/>
        </c:ser>
        <c:ser>
          <c:idx val="3"/>
          <c:order val="3"/>
          <c:tx>
            <c:v>2012</c:v>
          </c:tx>
          <c:cat>
            <c:strRef>
              <c:f>[1]Plan1!$C$44:$C$49</c:f>
              <c:strCache>
                <c:ptCount val="6"/>
                <c:pt idx="0">
                  <c:v>Guaraní Oc.</c:v>
                </c:pt>
                <c:pt idx="1">
                  <c:v>Aché</c:v>
                </c:pt>
                <c:pt idx="2">
                  <c:v>Avá G</c:v>
                </c:pt>
                <c:pt idx="3">
                  <c:v>Mbyá</c:v>
                </c:pt>
                <c:pt idx="4">
                  <c:v>Páî  </c:v>
                </c:pt>
                <c:pt idx="5">
                  <c:v>G Ñandéva </c:v>
                </c:pt>
              </c:strCache>
            </c:strRef>
          </c:cat>
          <c:val>
            <c:numRef>
              <c:f>[1]Plan1!$P$44:$P$49</c:f>
              <c:numCache>
                <c:formatCode>General</c:formatCode>
                <c:ptCount val="6"/>
                <c:pt idx="0">
                  <c:v>103.9</c:v>
                </c:pt>
                <c:pt idx="1">
                  <c:v>110.1</c:v>
                </c:pt>
                <c:pt idx="2">
                  <c:v>107.8</c:v>
                </c:pt>
                <c:pt idx="3">
                  <c:v>108.2</c:v>
                </c:pt>
                <c:pt idx="4">
                  <c:v>102.3</c:v>
                </c:pt>
                <c:pt idx="5">
                  <c:v>103.1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74416"/>
        <c:axId val="1018374960"/>
      </c:lineChart>
      <c:catAx>
        <c:axId val="10183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Arial"/>
              </a:defRPr>
            </a:pPr>
            <a:endParaRPr lang="pt-BR"/>
          </a:p>
        </c:txPr>
        <c:crossAx val="101837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374960"/>
        <c:scaling>
          <c:orientation val="minMax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1837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8680424418035275"/>
          <c:y val="0.12921067793355098"/>
          <c:w val="9.319024753556554E-2"/>
          <c:h val="0.5651624062751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3" verticalDpi="-3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pt-BR">
                <a:latin typeface="Times New Roman" panose="02020603050405020304" pitchFamily="18" charset="0"/>
                <a:cs typeface="Times New Roman" panose="02020603050405020304" pitchFamily="18" charset="0"/>
              </a:rPr>
              <a:t>Gráfico 2. Distribuição por grandes grupos de idades dos Guarani no Paraguai e Brasil, 2012 (PY) e 2010 (BR)</a:t>
            </a:r>
          </a:p>
        </c:rich>
      </c:tx>
      <c:layout>
        <c:manualLayout>
          <c:xMode val="edge"/>
          <c:yMode val="edge"/>
          <c:x val="0.11423240634246561"/>
          <c:y val="4.9479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6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811018858577343"/>
          <c:y val="0.23874874131299625"/>
          <c:w val="0.74256017453353718"/>
          <c:h val="0.4363545122897373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[2]indígenas!$D$14</c:f>
              <c:strCache>
                <c:ptCount val="1"/>
                <c:pt idx="0">
                  <c:v>población indígena Br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[2]indígenas!$B$15:$B$17</c:f>
              <c:strCache>
                <c:ptCount val="3"/>
                <c:pt idx="0">
                  <c:v>0-14</c:v>
                </c:pt>
                <c:pt idx="1">
                  <c:v>15-49</c:v>
                </c:pt>
                <c:pt idx="2">
                  <c:v>50 e +</c:v>
                </c:pt>
              </c:strCache>
            </c:strRef>
          </c:cat>
          <c:val>
            <c:numRef>
              <c:f>[2]indígenas!$D$15:$D$17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[2]indígenas!$F$14</c:f>
              <c:strCache>
                <c:ptCount val="1"/>
                <c:pt idx="0">
                  <c:v>Guarani Br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[2]indígenas!$B$15:$B$17</c:f>
              <c:strCache>
                <c:ptCount val="3"/>
                <c:pt idx="0">
                  <c:v>0-14</c:v>
                </c:pt>
                <c:pt idx="1">
                  <c:v>15-49</c:v>
                </c:pt>
                <c:pt idx="2">
                  <c:v>50 e +</c:v>
                </c:pt>
              </c:strCache>
            </c:strRef>
          </c:cat>
          <c:val>
            <c:numRef>
              <c:f>[2]indígenas!$F$15:$F$17</c:f>
              <c:numCache>
                <c:formatCode>General</c:formatCode>
                <c:ptCount val="3"/>
                <c:pt idx="0">
                  <c:v>0.43608775308873959</c:v>
                </c:pt>
                <c:pt idx="1">
                  <c:v>0.43848358152863248</c:v>
                </c:pt>
                <c:pt idx="2">
                  <c:v>0.1254286653826279</c:v>
                </c:pt>
              </c:numCache>
            </c:numRef>
          </c:val>
        </c:ser>
        <c:ser>
          <c:idx val="2"/>
          <c:order val="2"/>
          <c:tx>
            <c:strRef>
              <c:f>[2]indígenas!$D$5</c:f>
              <c:strCache>
                <c:ptCount val="1"/>
                <c:pt idx="0">
                  <c:v>pop indígena Py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[2]indígenas!$D$6:$D$8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[2]indígenas!$F$5</c:f>
              <c:strCache>
                <c:ptCount val="1"/>
                <c:pt idx="0">
                  <c:v>Guarani Py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[2]indígenas!$F$6:$F$8</c:f>
              <c:numCache>
                <c:formatCode>General</c:formatCode>
                <c:ptCount val="3"/>
                <c:pt idx="0">
                  <c:v>0.47746437917999418</c:v>
                </c:pt>
                <c:pt idx="1">
                  <c:v>0.44260282381829341</c:v>
                </c:pt>
                <c:pt idx="2">
                  <c:v>7.993279700171238E-2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8377136"/>
        <c:axId val="1018351632"/>
        <c:axId val="0"/>
      </c:bar3DChart>
      <c:catAx>
        <c:axId val="101837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1835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351632"/>
        <c:scaling>
          <c:orientation val="minMax"/>
          <c:max val="0.6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18377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Arial"/>
              </a:defRPr>
            </a:pPr>
            <a:endParaRPr lang="pt-B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16315308190856881"/>
          <c:y val="0.71931898720375087"/>
          <c:w val="0.61496843299992909"/>
          <c:h val="9.9772499092760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pt-BR" sz="1200"/>
              <a:t>Gráfico</a:t>
            </a:r>
            <a:r>
              <a:rPr lang="pt-BR" sz="1200" baseline="0"/>
              <a:t> 3. </a:t>
            </a:r>
            <a:r>
              <a:rPr lang="pt-BR" sz="1200"/>
              <a:t>Pirâmide etária Guarani - Brasil - 2010</a:t>
            </a:r>
          </a:p>
        </c:rich>
      </c:tx>
      <c:layout>
        <c:manualLayout>
          <c:xMode val="edge"/>
          <c:yMode val="edge"/>
          <c:x val="0.2078488595989173"/>
          <c:y val="1.18307650619197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4999627092119"/>
          <c:y val="8.5859357873719511E-2"/>
          <c:w val="0.6615276830390473"/>
          <c:h val="0.81155810254143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'[3]brasil total'!$C$4</c:f>
              <c:strCache>
                <c:ptCount val="1"/>
                <c:pt idx="0">
                  <c:v>MULHER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invertIfNegative val="0"/>
          <c:cat>
            <c:strRef>
              <c:f>'[3]brasil total'!$A$5:$A$20</c:f>
              <c:strCache>
                <c:ptCount val="16"/>
                <c:pt idx="0">
                  <c:v>0</c:v>
                </c:pt>
                <c:pt idx="1">
                  <c:v>00 a 04 anos</c:v>
                </c:pt>
                <c:pt idx="2">
                  <c:v>05 a 09 anos</c:v>
                </c:pt>
                <c:pt idx="3">
                  <c:v>10 a 14 anos</c:v>
                </c:pt>
                <c:pt idx="4">
                  <c:v>15 a 19 anos</c:v>
                </c:pt>
                <c:pt idx="5">
                  <c:v>20 a 24 anos</c:v>
                </c:pt>
                <c:pt idx="6">
                  <c:v>25 a 29 anos</c:v>
                </c:pt>
                <c:pt idx="7">
                  <c:v>30 a 34 anos</c:v>
                </c:pt>
                <c:pt idx="8">
                  <c:v>35 a 39 anos</c:v>
                </c:pt>
                <c:pt idx="9">
                  <c:v>40 a 44 anos</c:v>
                </c:pt>
                <c:pt idx="10">
                  <c:v>45 a 49 anos</c:v>
                </c:pt>
                <c:pt idx="11">
                  <c:v>50 a 54 anos</c:v>
                </c:pt>
                <c:pt idx="12">
                  <c:v>55 a 59 anos</c:v>
                </c:pt>
                <c:pt idx="13">
                  <c:v>60 a 64 anos</c:v>
                </c:pt>
                <c:pt idx="14">
                  <c:v>65 a 69 anos</c:v>
                </c:pt>
                <c:pt idx="15">
                  <c:v>70 anos e +</c:v>
                </c:pt>
              </c:strCache>
            </c:strRef>
          </c:cat>
          <c:val>
            <c:numRef>
              <c:f>'[3]brasil total'!$C$5:$C$20</c:f>
              <c:numCache>
                <c:formatCode>General</c:formatCode>
                <c:ptCount val="16"/>
                <c:pt idx="0">
                  <c:v>0</c:v>
                </c:pt>
                <c:pt idx="1">
                  <c:v>-4780</c:v>
                </c:pt>
                <c:pt idx="2">
                  <c:v>-4775</c:v>
                </c:pt>
                <c:pt idx="3">
                  <c:v>-4160</c:v>
                </c:pt>
                <c:pt idx="4">
                  <c:v>-3280</c:v>
                </c:pt>
                <c:pt idx="5">
                  <c:v>-2639</c:v>
                </c:pt>
                <c:pt idx="6">
                  <c:v>-2269</c:v>
                </c:pt>
                <c:pt idx="7">
                  <c:v>-1854</c:v>
                </c:pt>
                <c:pt idx="8">
                  <c:v>-1512</c:v>
                </c:pt>
                <c:pt idx="9">
                  <c:v>-1233</c:v>
                </c:pt>
                <c:pt idx="10">
                  <c:v>-1014</c:v>
                </c:pt>
                <c:pt idx="11">
                  <c:v>-871</c:v>
                </c:pt>
                <c:pt idx="12">
                  <c:v>-801</c:v>
                </c:pt>
                <c:pt idx="13">
                  <c:v>-651</c:v>
                </c:pt>
                <c:pt idx="14">
                  <c:v>-650</c:v>
                </c:pt>
                <c:pt idx="15">
                  <c:v>-1206</c:v>
                </c:pt>
              </c:numCache>
            </c:numRef>
          </c:val>
        </c:ser>
        <c:ser>
          <c:idx val="1"/>
          <c:order val="1"/>
          <c:tx>
            <c:strRef>
              <c:f>'[3]brasil total'!$D$4</c:f>
              <c:strCache>
                <c:ptCount val="1"/>
                <c:pt idx="0">
                  <c:v>HOMEM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'[3]brasil total'!$A$5:$A$20</c:f>
              <c:strCache>
                <c:ptCount val="16"/>
                <c:pt idx="0">
                  <c:v>0</c:v>
                </c:pt>
                <c:pt idx="1">
                  <c:v>00 a 04 anos</c:v>
                </c:pt>
                <c:pt idx="2">
                  <c:v>05 a 09 anos</c:v>
                </c:pt>
                <c:pt idx="3">
                  <c:v>10 a 14 anos</c:v>
                </c:pt>
                <c:pt idx="4">
                  <c:v>15 a 19 anos</c:v>
                </c:pt>
                <c:pt idx="5">
                  <c:v>20 a 24 anos</c:v>
                </c:pt>
                <c:pt idx="6">
                  <c:v>25 a 29 anos</c:v>
                </c:pt>
                <c:pt idx="7">
                  <c:v>30 a 34 anos</c:v>
                </c:pt>
                <c:pt idx="8">
                  <c:v>35 a 39 anos</c:v>
                </c:pt>
                <c:pt idx="9">
                  <c:v>40 a 44 anos</c:v>
                </c:pt>
                <c:pt idx="10">
                  <c:v>45 a 49 anos</c:v>
                </c:pt>
                <c:pt idx="11">
                  <c:v>50 a 54 anos</c:v>
                </c:pt>
                <c:pt idx="12">
                  <c:v>55 a 59 anos</c:v>
                </c:pt>
                <c:pt idx="13">
                  <c:v>60 a 64 anos</c:v>
                </c:pt>
                <c:pt idx="14">
                  <c:v>65 a 69 anos</c:v>
                </c:pt>
                <c:pt idx="15">
                  <c:v>70 anos e +</c:v>
                </c:pt>
              </c:strCache>
            </c:strRef>
          </c:cat>
          <c:val>
            <c:numRef>
              <c:f>'[3]brasil total'!$D$5:$D$20</c:f>
              <c:numCache>
                <c:formatCode>General</c:formatCode>
                <c:ptCount val="16"/>
                <c:pt idx="0">
                  <c:v>0</c:v>
                </c:pt>
                <c:pt idx="1">
                  <c:v>4993</c:v>
                </c:pt>
                <c:pt idx="2">
                  <c:v>4920</c:v>
                </c:pt>
                <c:pt idx="3">
                  <c:v>4221</c:v>
                </c:pt>
                <c:pt idx="4">
                  <c:v>3278</c:v>
                </c:pt>
                <c:pt idx="5">
                  <c:v>2634</c:v>
                </c:pt>
                <c:pt idx="6">
                  <c:v>2249</c:v>
                </c:pt>
                <c:pt idx="7">
                  <c:v>1950</c:v>
                </c:pt>
                <c:pt idx="8">
                  <c:v>1669</c:v>
                </c:pt>
                <c:pt idx="9">
                  <c:v>1291</c:v>
                </c:pt>
                <c:pt idx="10">
                  <c:v>1130</c:v>
                </c:pt>
                <c:pt idx="11">
                  <c:v>902</c:v>
                </c:pt>
                <c:pt idx="12">
                  <c:v>741</c:v>
                </c:pt>
                <c:pt idx="13">
                  <c:v>549</c:v>
                </c:pt>
                <c:pt idx="14">
                  <c:v>548</c:v>
                </c:pt>
                <c:pt idx="15">
                  <c:v>1091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018359792"/>
        <c:axId val="1018364144"/>
      </c:barChart>
      <c:catAx>
        <c:axId val="1018359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018364144"/>
        <c:crosses val="autoZero"/>
        <c:auto val="1"/>
        <c:lblAlgn val="ctr"/>
        <c:lblOffset val="100"/>
        <c:noMultiLvlLbl val="0"/>
      </c:catAx>
      <c:valAx>
        <c:axId val="1018364144"/>
        <c:scaling>
          <c:orientation val="minMax"/>
          <c:max val="6000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#,#00;#,#0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018359792"/>
        <c:crosses val="autoZero"/>
        <c:crossBetween val="between"/>
        <c:majorUnit val="2000"/>
        <c:minorUnit val="400"/>
      </c:valAx>
      <c:spPr>
        <a:ln>
          <a:solidFill>
            <a:prstClr val="black">
              <a:alpha val="88000"/>
            </a:prstClr>
          </a:solidFill>
        </a:ln>
      </c:spPr>
    </c:plotArea>
    <c:legend>
      <c:legendPos val="r"/>
      <c:layout>
        <c:manualLayout>
          <c:xMode val="edge"/>
          <c:yMode val="edge"/>
          <c:x val="0.86151289812834919"/>
          <c:y val="0.47941233119411231"/>
          <c:w val="0.13034387982683449"/>
          <c:h val="9.9581976315129203E-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>
          <a:alpha val="91000"/>
        </a:sys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pt-BR" sz="1200"/>
              <a:t>Gráfico 4. Pirâmide etária Guarani Urbano- Brasil - 2010</a:t>
            </a:r>
          </a:p>
        </c:rich>
      </c:tx>
      <c:layout>
        <c:manualLayout>
          <c:xMode val="edge"/>
          <c:yMode val="edge"/>
          <c:x val="0.18153305960311375"/>
          <c:y val="2.0583396088056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4999627092119"/>
          <c:y val="8.5859357873719511E-2"/>
          <c:w val="0.64286781900211454"/>
          <c:h val="0.782382241278624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'[3]brasil urbano'!$C$4</c:f>
              <c:strCache>
                <c:ptCount val="1"/>
                <c:pt idx="0">
                  <c:v>MULHER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'[3]brasil urbano'!$A$5:$A$19</c:f>
              <c:strCache>
                <c:ptCount val="15"/>
                <c:pt idx="0">
                  <c:v>00 a 04 anos</c:v>
                </c:pt>
                <c:pt idx="1">
                  <c:v>05 a 09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anos e +</c:v>
                </c:pt>
              </c:strCache>
            </c:strRef>
          </c:cat>
          <c:val>
            <c:numRef>
              <c:f>'[3]brasil urbano'!$C$5:$C$19</c:f>
              <c:numCache>
                <c:formatCode>General</c:formatCode>
                <c:ptCount val="15"/>
                <c:pt idx="0">
                  <c:v>-502</c:v>
                </c:pt>
                <c:pt idx="1">
                  <c:v>-563</c:v>
                </c:pt>
                <c:pt idx="2">
                  <c:v>-595</c:v>
                </c:pt>
                <c:pt idx="3">
                  <c:v>-600</c:v>
                </c:pt>
                <c:pt idx="4">
                  <c:v>-548</c:v>
                </c:pt>
                <c:pt idx="5">
                  <c:v>-532</c:v>
                </c:pt>
                <c:pt idx="6">
                  <c:v>-520</c:v>
                </c:pt>
                <c:pt idx="7">
                  <c:v>-508</c:v>
                </c:pt>
                <c:pt idx="8">
                  <c:v>-528</c:v>
                </c:pt>
                <c:pt idx="9">
                  <c:v>-490</c:v>
                </c:pt>
                <c:pt idx="10">
                  <c:v>-471</c:v>
                </c:pt>
                <c:pt idx="11">
                  <c:v>-446</c:v>
                </c:pt>
                <c:pt idx="12">
                  <c:v>-293</c:v>
                </c:pt>
                <c:pt idx="13">
                  <c:v>-292</c:v>
                </c:pt>
                <c:pt idx="14">
                  <c:v>-470</c:v>
                </c:pt>
              </c:numCache>
            </c:numRef>
          </c:val>
        </c:ser>
        <c:ser>
          <c:idx val="1"/>
          <c:order val="1"/>
          <c:tx>
            <c:strRef>
              <c:f>'[3]brasil urbano'!$D$4</c:f>
              <c:strCache>
                <c:ptCount val="1"/>
                <c:pt idx="0">
                  <c:v>HOMEM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'[3]brasil urbano'!$A$5:$A$19</c:f>
              <c:strCache>
                <c:ptCount val="15"/>
                <c:pt idx="0">
                  <c:v>00 a 04 anos</c:v>
                </c:pt>
                <c:pt idx="1">
                  <c:v>05 a 09 anos</c:v>
                </c:pt>
                <c:pt idx="2">
                  <c:v>10 a 14 anos</c:v>
                </c:pt>
                <c:pt idx="3">
                  <c:v>15 a 19 anos</c:v>
                </c:pt>
                <c:pt idx="4">
                  <c:v>20 a 24 anos</c:v>
                </c:pt>
                <c:pt idx="5">
                  <c:v>25 a 29 anos</c:v>
                </c:pt>
                <c:pt idx="6">
                  <c:v>30 a 34 anos</c:v>
                </c:pt>
                <c:pt idx="7">
                  <c:v>35 a 39 anos</c:v>
                </c:pt>
                <c:pt idx="8">
                  <c:v>40 a 44 anos</c:v>
                </c:pt>
                <c:pt idx="9">
                  <c:v>45 a 49 anos</c:v>
                </c:pt>
                <c:pt idx="10">
                  <c:v>50 a 54 anos</c:v>
                </c:pt>
                <c:pt idx="11">
                  <c:v>55 a 59 anos</c:v>
                </c:pt>
                <c:pt idx="12">
                  <c:v>60 a 64 anos</c:v>
                </c:pt>
                <c:pt idx="13">
                  <c:v>65 a 69 anos</c:v>
                </c:pt>
                <c:pt idx="14">
                  <c:v>70 anos e +</c:v>
                </c:pt>
              </c:strCache>
            </c:strRef>
          </c:cat>
          <c:val>
            <c:numRef>
              <c:f>'[3]brasil urbano'!$D$5:$D$19</c:f>
              <c:numCache>
                <c:formatCode>General</c:formatCode>
                <c:ptCount val="15"/>
                <c:pt idx="0">
                  <c:v>576</c:v>
                </c:pt>
                <c:pt idx="1">
                  <c:v>589</c:v>
                </c:pt>
                <c:pt idx="2">
                  <c:v>627</c:v>
                </c:pt>
                <c:pt idx="3">
                  <c:v>576</c:v>
                </c:pt>
                <c:pt idx="4">
                  <c:v>565</c:v>
                </c:pt>
                <c:pt idx="5">
                  <c:v>554</c:v>
                </c:pt>
                <c:pt idx="6">
                  <c:v>569</c:v>
                </c:pt>
                <c:pt idx="7">
                  <c:v>520</c:v>
                </c:pt>
                <c:pt idx="8">
                  <c:v>544</c:v>
                </c:pt>
                <c:pt idx="9">
                  <c:v>513</c:v>
                </c:pt>
                <c:pt idx="10">
                  <c:v>463</c:v>
                </c:pt>
                <c:pt idx="11">
                  <c:v>378</c:v>
                </c:pt>
                <c:pt idx="12">
                  <c:v>236</c:v>
                </c:pt>
                <c:pt idx="13">
                  <c:v>235</c:v>
                </c:pt>
                <c:pt idx="14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256603872"/>
        <c:axId val="1256603328"/>
      </c:barChart>
      <c:catAx>
        <c:axId val="1256603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6603328"/>
        <c:crosses val="autoZero"/>
        <c:auto val="1"/>
        <c:lblAlgn val="ctr"/>
        <c:lblOffset val="100"/>
        <c:noMultiLvlLbl val="0"/>
      </c:catAx>
      <c:valAx>
        <c:axId val="1256603328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#,#00;#,#0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256603872"/>
        <c:crosses val="autoZero"/>
        <c:crossBetween val="between"/>
      </c:valAx>
      <c:spPr>
        <a:ln>
          <a:solidFill>
            <a:prstClr val="black">
              <a:alpha val="88000"/>
            </a:prstClr>
          </a:solidFill>
        </a:ln>
      </c:spPr>
    </c:plotArea>
    <c:legend>
      <c:legendPos val="r"/>
      <c:layout>
        <c:manualLayout>
          <c:xMode val="edge"/>
          <c:yMode val="edge"/>
          <c:x val="0.86151289812834919"/>
          <c:y val="0.47941233119411231"/>
          <c:w val="0.13034387982683449"/>
          <c:h val="9.9581976315129203E-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>
          <a:alpha val="91000"/>
        </a:sys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pt-BR" sz="1200"/>
              <a:t>Gráfico 5. Pirâmide etária Guarani Rural- Brasil - 2010</a:t>
            </a:r>
          </a:p>
        </c:rich>
      </c:tx>
      <c:layout>
        <c:manualLayout>
          <c:xMode val="edge"/>
          <c:yMode val="edge"/>
          <c:x val="0.2078488595989173"/>
          <c:y val="1.18307650619197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4999627092119"/>
          <c:y val="8.5859357873719511E-2"/>
          <c:w val="0.59044325806872311"/>
          <c:h val="0.71773829463173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'[3]brasil rural'!$C$2</c:f>
              <c:strCache>
                <c:ptCount val="1"/>
                <c:pt idx="0">
                  <c:v>MULHER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'[3]brasil rural'!$A$3:$A$18</c:f>
              <c:strCache>
                <c:ptCount val="16"/>
                <c:pt idx="0">
                  <c:v>0</c:v>
                </c:pt>
                <c:pt idx="1">
                  <c:v>00 a 04 anos</c:v>
                </c:pt>
                <c:pt idx="2">
                  <c:v>05 a 09 anos</c:v>
                </c:pt>
                <c:pt idx="3">
                  <c:v>10 a 14 anos</c:v>
                </c:pt>
                <c:pt idx="4">
                  <c:v>15 a 19 anos</c:v>
                </c:pt>
                <c:pt idx="5">
                  <c:v>20 a 24 anos</c:v>
                </c:pt>
                <c:pt idx="6">
                  <c:v>25 a 29 anos</c:v>
                </c:pt>
                <c:pt idx="7">
                  <c:v>30 a 34 anos</c:v>
                </c:pt>
                <c:pt idx="8">
                  <c:v>35 a 39 anos</c:v>
                </c:pt>
                <c:pt idx="9">
                  <c:v>40 a 44 anos</c:v>
                </c:pt>
                <c:pt idx="10">
                  <c:v>45 a 49 anos</c:v>
                </c:pt>
                <c:pt idx="11">
                  <c:v>50 a 54 anos</c:v>
                </c:pt>
                <c:pt idx="12">
                  <c:v>55 a 59 anos</c:v>
                </c:pt>
                <c:pt idx="13">
                  <c:v>60 a 64 anos</c:v>
                </c:pt>
                <c:pt idx="14">
                  <c:v>65 a 69 anos</c:v>
                </c:pt>
                <c:pt idx="15">
                  <c:v>70 anos e +</c:v>
                </c:pt>
              </c:strCache>
            </c:strRef>
          </c:cat>
          <c:val>
            <c:numRef>
              <c:f>'[3]brasil rural'!$C$3:$C$18</c:f>
              <c:numCache>
                <c:formatCode>General</c:formatCode>
                <c:ptCount val="16"/>
                <c:pt idx="0">
                  <c:v>0</c:v>
                </c:pt>
                <c:pt idx="1">
                  <c:v>-4278</c:v>
                </c:pt>
                <c:pt idx="2">
                  <c:v>-4212</c:v>
                </c:pt>
                <c:pt idx="3">
                  <c:v>-3565</c:v>
                </c:pt>
                <c:pt idx="4">
                  <c:v>-2680</c:v>
                </c:pt>
                <c:pt idx="5">
                  <c:v>-2091</c:v>
                </c:pt>
                <c:pt idx="6">
                  <c:v>-1737</c:v>
                </c:pt>
                <c:pt idx="7">
                  <c:v>-1334</c:v>
                </c:pt>
                <c:pt idx="8">
                  <c:v>-1004</c:v>
                </c:pt>
                <c:pt idx="9">
                  <c:v>-705</c:v>
                </c:pt>
                <c:pt idx="10">
                  <c:v>-524</c:v>
                </c:pt>
                <c:pt idx="11">
                  <c:v>-400</c:v>
                </c:pt>
                <c:pt idx="12">
                  <c:v>-355</c:v>
                </c:pt>
                <c:pt idx="13">
                  <c:v>-358</c:v>
                </c:pt>
                <c:pt idx="14">
                  <c:v>-358</c:v>
                </c:pt>
                <c:pt idx="15">
                  <c:v>-736</c:v>
                </c:pt>
              </c:numCache>
            </c:numRef>
          </c:val>
        </c:ser>
        <c:ser>
          <c:idx val="1"/>
          <c:order val="1"/>
          <c:tx>
            <c:strRef>
              <c:f>'[3]brasil rural'!$D$2</c:f>
              <c:strCache>
                <c:ptCount val="1"/>
                <c:pt idx="0">
                  <c:v>HOMEM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'[3]brasil rural'!$A$3:$A$18</c:f>
              <c:strCache>
                <c:ptCount val="16"/>
                <c:pt idx="0">
                  <c:v>0</c:v>
                </c:pt>
                <c:pt idx="1">
                  <c:v>00 a 04 anos</c:v>
                </c:pt>
                <c:pt idx="2">
                  <c:v>05 a 09 anos</c:v>
                </c:pt>
                <c:pt idx="3">
                  <c:v>10 a 14 anos</c:v>
                </c:pt>
                <c:pt idx="4">
                  <c:v>15 a 19 anos</c:v>
                </c:pt>
                <c:pt idx="5">
                  <c:v>20 a 24 anos</c:v>
                </c:pt>
                <c:pt idx="6">
                  <c:v>25 a 29 anos</c:v>
                </c:pt>
                <c:pt idx="7">
                  <c:v>30 a 34 anos</c:v>
                </c:pt>
                <c:pt idx="8">
                  <c:v>35 a 39 anos</c:v>
                </c:pt>
                <c:pt idx="9">
                  <c:v>40 a 44 anos</c:v>
                </c:pt>
                <c:pt idx="10">
                  <c:v>45 a 49 anos</c:v>
                </c:pt>
                <c:pt idx="11">
                  <c:v>50 a 54 anos</c:v>
                </c:pt>
                <c:pt idx="12">
                  <c:v>55 a 59 anos</c:v>
                </c:pt>
                <c:pt idx="13">
                  <c:v>60 a 64 anos</c:v>
                </c:pt>
                <c:pt idx="14">
                  <c:v>65 a 69 anos</c:v>
                </c:pt>
                <c:pt idx="15">
                  <c:v>70 anos e +</c:v>
                </c:pt>
              </c:strCache>
            </c:strRef>
          </c:cat>
          <c:val>
            <c:numRef>
              <c:f>'[3]brasil rural'!$D$3:$D$18</c:f>
              <c:numCache>
                <c:formatCode>General</c:formatCode>
                <c:ptCount val="16"/>
                <c:pt idx="0">
                  <c:v>0</c:v>
                </c:pt>
                <c:pt idx="1">
                  <c:v>4417</c:v>
                </c:pt>
                <c:pt idx="2">
                  <c:v>4331</c:v>
                </c:pt>
                <c:pt idx="3">
                  <c:v>3594</c:v>
                </c:pt>
                <c:pt idx="4">
                  <c:v>2702</c:v>
                </c:pt>
                <c:pt idx="5">
                  <c:v>2069</c:v>
                </c:pt>
                <c:pt idx="6">
                  <c:v>1695</c:v>
                </c:pt>
                <c:pt idx="7">
                  <c:v>1381</c:v>
                </c:pt>
                <c:pt idx="8">
                  <c:v>1149</c:v>
                </c:pt>
                <c:pt idx="9">
                  <c:v>747</c:v>
                </c:pt>
                <c:pt idx="10">
                  <c:v>617</c:v>
                </c:pt>
                <c:pt idx="11">
                  <c:v>439</c:v>
                </c:pt>
                <c:pt idx="12">
                  <c:v>363</c:v>
                </c:pt>
                <c:pt idx="13">
                  <c:v>313</c:v>
                </c:pt>
                <c:pt idx="14">
                  <c:v>313</c:v>
                </c:pt>
                <c:pt idx="15">
                  <c:v>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328341664"/>
        <c:axId val="1328338400"/>
      </c:barChart>
      <c:catAx>
        <c:axId val="13283416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328338400"/>
        <c:crosses val="autoZero"/>
        <c:auto val="1"/>
        <c:lblAlgn val="ctr"/>
        <c:lblOffset val="100"/>
        <c:noMultiLvlLbl val="0"/>
      </c:catAx>
      <c:valAx>
        <c:axId val="1328338400"/>
        <c:scaling>
          <c:orientation val="minMax"/>
          <c:max val="6000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#,#00;#,#0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1328341664"/>
        <c:crosses val="autoZero"/>
        <c:crossBetween val="between"/>
        <c:majorUnit val="2000"/>
        <c:minorUnit val="400"/>
      </c:valAx>
      <c:spPr>
        <a:ln>
          <a:solidFill>
            <a:prstClr val="black">
              <a:alpha val="88000"/>
            </a:prstClr>
          </a:solidFill>
        </a:ln>
      </c:spPr>
    </c:plotArea>
    <c:legend>
      <c:legendPos val="r"/>
      <c:layout>
        <c:manualLayout>
          <c:xMode val="edge"/>
          <c:yMode val="edge"/>
          <c:x val="0.76824870898117725"/>
          <c:y val="0.48786902435029117"/>
          <c:w val="0.13034387982683449"/>
          <c:h val="9.9581976315129203E-2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>
          <a:alpha val="91000"/>
        </a:sys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266699</xdr:colOff>
      <xdr:row>0</xdr:row>
      <xdr:rowOff>114300</xdr:rowOff>
    </xdr:from>
    <xdr:to>
      <xdr:col>13</xdr:col>
      <xdr:colOff>0</xdr:colOff>
      <xdr:row>19</xdr:row>
      <xdr:rowOff>161926</xdr:rowOff>
    </xdr:to>
    <xdr:graphicFrame macro="">
      <xdr:nvGraphicFramePr>
        <xdr:cNvPr id="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0.03639</cdr:x>
      <cdr:y>0.87743</cdr:y>
    </cdr:from>
    <cdr:to>
      <cdr:x>0.37019</cdr:x>
      <cdr:y>0.91466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52354" y="3953116"/>
          <a:ext cx="2314635" cy="167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Fonte: IBGE, Censo Demográfico 2010.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0.17655</cdr:x>
      <cdr:y>0.76585</cdr:y>
    </cdr:from>
    <cdr:to>
      <cdr:x>0.30303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276351" y="35909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0.04348</cdr:x>
      <cdr:y>0.89268</cdr:y>
    </cdr:from>
    <cdr:to>
      <cdr:x>0.65613</cdr:x>
      <cdr:y>0.99268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14326" y="3486150"/>
          <a:ext cx="44291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800">
              <a:latin typeface="Times New Roman" panose="02020603050405020304" pitchFamily="18" charset="0"/>
              <a:cs typeface="Times New Roman" panose="02020603050405020304" pitchFamily="18" charset="0"/>
            </a:rPr>
            <a:t>Fonte: STP/DGEEC. </a:t>
          </a:r>
          <a:r>
            <a:rPr lang="pt-BR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 Censo Nacional de Población y Viviendas para Pueblos Indígenas 2012</a:t>
          </a:r>
          <a:endParaRPr lang="pt-BR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r>
            <a:rPr lang="pt-BR" sz="800">
              <a:latin typeface="Times New Roman" panose="02020603050405020304" pitchFamily="18" charset="0"/>
              <a:cs typeface="Times New Roman" panose="02020603050405020304" pitchFamily="18" charset="0"/>
            </a:rPr>
            <a:t>III Censo Nacional de Población y Viviendas para Pueblos Indígenas 2012.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2</xdr:row>
      <xdr:rowOff>295274</xdr:rowOff>
    </xdr:from>
    <xdr:to>
      <xdr:col>16</xdr:col>
      <xdr:colOff>581025</xdr:colOff>
      <xdr:row>22</xdr:row>
      <xdr:rowOff>28575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0.14338</cdr:x>
      <cdr:y>0.69811</cdr:y>
    </cdr:from>
    <cdr:to>
      <cdr:x>0.3176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52476" y="2943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0.01245</cdr:x>
      <cdr:y>0.84409</cdr:y>
    </cdr:from>
    <cdr:to>
      <cdr:x>0.85473</cdr:x>
      <cdr:y>0.96639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0220" y="2870261"/>
          <a:ext cx="4749430" cy="415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800">
              <a:latin typeface="Times New Roman" panose="02020603050405020304" pitchFamily="18" charset="0"/>
              <a:cs typeface="Times New Roman" panose="02020603050405020304" pitchFamily="18" charset="0"/>
            </a:rPr>
            <a:t>Fonte: IBGE, Censo Demográfico, 2010 e STP/DGEEC. </a:t>
          </a:r>
        </a:p>
        <a:p xmlns:a="http://schemas.openxmlformats.org/drawingml/2006/main">
          <a:r>
            <a:rPr lang="pt-BR" sz="800">
              <a:latin typeface="Times New Roman" panose="02020603050405020304" pitchFamily="18" charset="0"/>
              <a:cs typeface="Times New Roman" panose="02020603050405020304" pitchFamily="18" charset="0"/>
            </a:rPr>
            <a:t>III Censo Nacional de Población y Viviendas para Pueblos Indígenas 2012.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5</xdr:row>
      <xdr:rowOff>47624</xdr:rowOff>
    </xdr:from>
    <xdr:to>
      <xdr:col>14</xdr:col>
      <xdr:colOff>238125</xdr:colOff>
      <xdr:row>27</xdr:row>
      <xdr:rowOff>19050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0.03763</cdr:x>
      <cdr:y>0.9539</cdr:y>
    </cdr:from>
    <cdr:to>
      <cdr:x>0.37143</cdr:x>
      <cdr:y>0.99113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79579" y="4097725"/>
          <a:ext cx="2479988" cy="159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Fonte: IBGE, Censo Demográfico 2010.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4</xdr:row>
      <xdr:rowOff>47624</xdr:rowOff>
    </xdr:from>
    <xdr:to>
      <xdr:col>14</xdr:col>
      <xdr:colOff>47625</xdr:colOff>
      <xdr:row>26</xdr:row>
      <xdr:rowOff>57150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0.03368</cdr:x>
      <cdr:y>0.93421</cdr:y>
    </cdr:from>
    <cdr:to>
      <cdr:x>0.36748</cdr:x>
      <cdr:y>0.97144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43829" y="4066531"/>
          <a:ext cx="2416378" cy="162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Fonte: IBGE, Censo Demográfico 2010.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3</xdr:row>
      <xdr:rowOff>47624</xdr:rowOff>
    </xdr:from>
    <xdr:to>
      <xdr:col>13</xdr:col>
      <xdr:colOff>504825</xdr:colOff>
      <xdr:row>26</xdr:row>
      <xdr:rowOff>28575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U%20ROSA\DOUTORADO%20ROSA\2011%20A\COLETA\Paragua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Arnulfo\Desktop\DOUTORADO%20rosacolman\dados\dados%20p%20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Arnulfo\Desktop\DOUTORADO%20rosacolman\dados\Pir&#226;m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4">
          <cell r="M4" t="str">
            <v>região ocidental</v>
          </cell>
        </row>
        <row r="44">
          <cell r="C44" t="str">
            <v>Guaraní Oc.</v>
          </cell>
          <cell r="M44">
            <v>101.4018691588785</v>
          </cell>
          <cell r="N44">
            <v>96.551724137931032</v>
          </cell>
          <cell r="O44">
            <v>105.0420168067227</v>
          </cell>
          <cell r="P44">
            <v>103.9</v>
          </cell>
        </row>
        <row r="45">
          <cell r="C45" t="str">
            <v>Aché</v>
          </cell>
          <cell r="M45">
            <v>109.50704225352112</v>
          </cell>
          <cell r="N45">
            <v>118.83561643835617</v>
          </cell>
          <cell r="O45">
            <v>110.61452513966481</v>
          </cell>
          <cell r="P45">
            <v>110.1</v>
          </cell>
        </row>
        <row r="46">
          <cell r="C46" t="str">
            <v>Avá G</v>
          </cell>
          <cell r="M46">
            <v>108.60515688101896</v>
          </cell>
          <cell r="N46">
            <v>107.68537976583607</v>
          </cell>
          <cell r="O46">
            <v>110.08403361344538</v>
          </cell>
          <cell r="P46">
            <v>107.8</v>
          </cell>
        </row>
        <row r="47">
          <cell r="C47" t="str">
            <v>Mbyá</v>
          </cell>
          <cell r="M47">
            <v>109.59906350599941</v>
          </cell>
          <cell r="N47">
            <v>108.25285338015804</v>
          </cell>
          <cell r="O47">
            <v>119.44692239072256</v>
          </cell>
          <cell r="P47">
            <v>108.2</v>
          </cell>
        </row>
        <row r="48">
          <cell r="C48" t="str">
            <v xml:space="preserve">Páî  </v>
          </cell>
          <cell r="M48">
            <v>104.07148407148408</v>
          </cell>
          <cell r="N48">
            <v>106.43004115226337</v>
          </cell>
          <cell r="O48">
            <v>107.74999999999999</v>
          </cell>
          <cell r="P48">
            <v>102.3</v>
          </cell>
        </row>
        <row r="49">
          <cell r="C49" t="str">
            <v xml:space="preserve">G Ñandéva </v>
          </cell>
          <cell r="M49">
            <v>107.31452455590387</v>
          </cell>
          <cell r="N49">
            <v>107.37797956867196</v>
          </cell>
          <cell r="O49">
            <v>98.449612403100772</v>
          </cell>
          <cell r="P49">
            <v>103.1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arani"/>
      <sheetName val="indígenas"/>
      <sheetName val="Plan3"/>
    </sheetNames>
    <sheetDataSet>
      <sheetData sheetId="0"/>
      <sheetData sheetId="1">
        <row r="5">
          <cell r="D5" t="str">
            <v>pop indígena Py</v>
          </cell>
          <cell r="F5" t="str">
            <v>Guarani Py</v>
          </cell>
        </row>
        <row r="6">
          <cell r="F6">
            <v>0.47746437917999418</v>
          </cell>
        </row>
        <row r="7">
          <cell r="F7">
            <v>0.44260282381829341</v>
          </cell>
        </row>
        <row r="8">
          <cell r="F8">
            <v>7.993279700171238E-2</v>
          </cell>
        </row>
        <row r="14">
          <cell r="D14" t="str">
            <v>población indígena Br</v>
          </cell>
          <cell r="F14" t="str">
            <v>Guarani Br</v>
          </cell>
        </row>
        <row r="15">
          <cell r="B15" t="str">
            <v>0-14</v>
          </cell>
          <cell r="F15">
            <v>0.43608775308873959</v>
          </cell>
        </row>
        <row r="16">
          <cell r="B16" t="str">
            <v>15-49</v>
          </cell>
          <cell r="F16">
            <v>0.43848358152863248</v>
          </cell>
        </row>
        <row r="17">
          <cell r="B17" t="str">
            <v>50 e +</v>
          </cell>
          <cell r="F17">
            <v>0.1254286653826279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il urbano"/>
      <sheetName val="brasil rural"/>
      <sheetName val="brasil total"/>
      <sheetName val="Plan2"/>
    </sheetNames>
    <sheetDataSet>
      <sheetData sheetId="0">
        <row r="4">
          <cell r="C4" t="str">
            <v>MULHER</v>
          </cell>
          <cell r="D4" t="str">
            <v>HOMEM</v>
          </cell>
        </row>
        <row r="5">
          <cell r="A5" t="str">
            <v>00 a 04 anos</v>
          </cell>
          <cell r="C5">
            <v>-502</v>
          </cell>
          <cell r="D5">
            <v>576</v>
          </cell>
        </row>
        <row r="6">
          <cell r="A6" t="str">
            <v>05 a 09 anos</v>
          </cell>
          <cell r="C6">
            <v>-563</v>
          </cell>
          <cell r="D6">
            <v>589</v>
          </cell>
        </row>
        <row r="7">
          <cell r="A7" t="str">
            <v>10 a 14 anos</v>
          </cell>
          <cell r="C7">
            <v>-595</v>
          </cell>
          <cell r="D7">
            <v>627</v>
          </cell>
        </row>
        <row r="8">
          <cell r="A8" t="str">
            <v>15 a 19 anos</v>
          </cell>
          <cell r="C8">
            <v>-600</v>
          </cell>
          <cell r="D8">
            <v>576</v>
          </cell>
        </row>
        <row r="9">
          <cell r="A9" t="str">
            <v>20 a 24 anos</v>
          </cell>
          <cell r="C9">
            <v>-548</v>
          </cell>
          <cell r="D9">
            <v>565</v>
          </cell>
        </row>
        <row r="10">
          <cell r="A10" t="str">
            <v>25 a 29 anos</v>
          </cell>
          <cell r="C10">
            <v>-532</v>
          </cell>
          <cell r="D10">
            <v>554</v>
          </cell>
        </row>
        <row r="11">
          <cell r="A11" t="str">
            <v>30 a 34 anos</v>
          </cell>
          <cell r="C11">
            <v>-520</v>
          </cell>
          <cell r="D11">
            <v>569</v>
          </cell>
        </row>
        <row r="12">
          <cell r="A12" t="str">
            <v>35 a 39 anos</v>
          </cell>
          <cell r="C12">
            <v>-508</v>
          </cell>
          <cell r="D12">
            <v>520</v>
          </cell>
        </row>
        <row r="13">
          <cell r="A13" t="str">
            <v>40 a 44 anos</v>
          </cell>
          <cell r="C13">
            <v>-528</v>
          </cell>
          <cell r="D13">
            <v>544</v>
          </cell>
        </row>
        <row r="14">
          <cell r="A14" t="str">
            <v>45 a 49 anos</v>
          </cell>
          <cell r="C14">
            <v>-490</v>
          </cell>
          <cell r="D14">
            <v>513</v>
          </cell>
        </row>
        <row r="15">
          <cell r="A15" t="str">
            <v>50 a 54 anos</v>
          </cell>
          <cell r="C15">
            <v>-471</v>
          </cell>
          <cell r="D15">
            <v>463</v>
          </cell>
        </row>
        <row r="16">
          <cell r="A16" t="str">
            <v>55 a 59 anos</v>
          </cell>
          <cell r="C16">
            <v>-446</v>
          </cell>
          <cell r="D16">
            <v>378</v>
          </cell>
        </row>
        <row r="17">
          <cell r="A17" t="str">
            <v>60 a 64 anos</v>
          </cell>
          <cell r="C17">
            <v>-293</v>
          </cell>
          <cell r="D17">
            <v>236</v>
          </cell>
        </row>
        <row r="18">
          <cell r="A18" t="str">
            <v>65 a 69 anos</v>
          </cell>
          <cell r="C18">
            <v>-292</v>
          </cell>
          <cell r="D18">
            <v>235</v>
          </cell>
        </row>
        <row r="19">
          <cell r="A19" t="str">
            <v>70 anos e +</v>
          </cell>
          <cell r="C19">
            <v>-470</v>
          </cell>
          <cell r="D19">
            <v>323</v>
          </cell>
        </row>
      </sheetData>
      <sheetData sheetId="1">
        <row r="2">
          <cell r="C2" t="str">
            <v>MULHER</v>
          </cell>
          <cell r="D2" t="str">
            <v>HOMEM</v>
          </cell>
        </row>
        <row r="3">
          <cell r="A3">
            <v>0</v>
          </cell>
          <cell r="C3">
            <v>0</v>
          </cell>
          <cell r="D3">
            <v>0</v>
          </cell>
        </row>
        <row r="4">
          <cell r="A4" t="str">
            <v>00 a 04 anos</v>
          </cell>
          <cell r="C4">
            <v>-4278</v>
          </cell>
          <cell r="D4">
            <v>4417</v>
          </cell>
        </row>
        <row r="5">
          <cell r="A5" t="str">
            <v>05 a 09 anos</v>
          </cell>
          <cell r="C5">
            <v>-4212</v>
          </cell>
          <cell r="D5">
            <v>4331</v>
          </cell>
        </row>
        <row r="6">
          <cell r="A6" t="str">
            <v>10 a 14 anos</v>
          </cell>
          <cell r="C6">
            <v>-3565</v>
          </cell>
          <cell r="D6">
            <v>3594</v>
          </cell>
        </row>
        <row r="7">
          <cell r="A7" t="str">
            <v>15 a 19 anos</v>
          </cell>
          <cell r="C7">
            <v>-2680</v>
          </cell>
          <cell r="D7">
            <v>2702</v>
          </cell>
        </row>
        <row r="8">
          <cell r="A8" t="str">
            <v>20 a 24 anos</v>
          </cell>
          <cell r="C8">
            <v>-2091</v>
          </cell>
          <cell r="D8">
            <v>2069</v>
          </cell>
        </row>
        <row r="9">
          <cell r="A9" t="str">
            <v>25 a 29 anos</v>
          </cell>
          <cell r="C9">
            <v>-1737</v>
          </cell>
          <cell r="D9">
            <v>1695</v>
          </cell>
        </row>
        <row r="10">
          <cell r="A10" t="str">
            <v>30 a 34 anos</v>
          </cell>
          <cell r="C10">
            <v>-1334</v>
          </cell>
          <cell r="D10">
            <v>1381</v>
          </cell>
        </row>
        <row r="11">
          <cell r="A11" t="str">
            <v>35 a 39 anos</v>
          </cell>
          <cell r="C11">
            <v>-1004</v>
          </cell>
          <cell r="D11">
            <v>1149</v>
          </cell>
        </row>
        <row r="12">
          <cell r="A12" t="str">
            <v>40 a 44 anos</v>
          </cell>
          <cell r="C12">
            <v>-705</v>
          </cell>
          <cell r="D12">
            <v>747</v>
          </cell>
        </row>
        <row r="13">
          <cell r="A13" t="str">
            <v>45 a 49 anos</v>
          </cell>
          <cell r="C13">
            <v>-524</v>
          </cell>
          <cell r="D13">
            <v>617</v>
          </cell>
        </row>
        <row r="14">
          <cell r="A14" t="str">
            <v>50 a 54 anos</v>
          </cell>
          <cell r="C14">
            <v>-400</v>
          </cell>
          <cell r="D14">
            <v>439</v>
          </cell>
        </row>
        <row r="15">
          <cell r="A15" t="str">
            <v>55 a 59 anos</v>
          </cell>
          <cell r="C15">
            <v>-355</v>
          </cell>
          <cell r="D15">
            <v>363</v>
          </cell>
        </row>
        <row r="16">
          <cell r="A16" t="str">
            <v>60 a 64 anos</v>
          </cell>
          <cell r="C16">
            <v>-358</v>
          </cell>
          <cell r="D16">
            <v>313</v>
          </cell>
        </row>
        <row r="17">
          <cell r="A17" t="str">
            <v>65 a 69 anos</v>
          </cell>
          <cell r="C17">
            <v>-358</v>
          </cell>
          <cell r="D17">
            <v>313</v>
          </cell>
        </row>
        <row r="18">
          <cell r="A18" t="str">
            <v>70 anos e +</v>
          </cell>
          <cell r="C18">
            <v>-736</v>
          </cell>
          <cell r="D18">
            <v>768</v>
          </cell>
        </row>
      </sheetData>
      <sheetData sheetId="2">
        <row r="4">
          <cell r="C4" t="str">
            <v>MULHER</v>
          </cell>
          <cell r="D4" t="str">
            <v>HOMEM</v>
          </cell>
        </row>
        <row r="5">
          <cell r="A5">
            <v>0</v>
          </cell>
          <cell r="C5">
            <v>0</v>
          </cell>
          <cell r="D5">
            <v>0</v>
          </cell>
        </row>
        <row r="6">
          <cell r="A6" t="str">
            <v>00 a 04 anos</v>
          </cell>
          <cell r="C6">
            <v>-4780</v>
          </cell>
          <cell r="D6">
            <v>4993</v>
          </cell>
        </row>
        <row r="7">
          <cell r="A7" t="str">
            <v>05 a 09 anos</v>
          </cell>
          <cell r="C7">
            <v>-4775</v>
          </cell>
          <cell r="D7">
            <v>4920</v>
          </cell>
        </row>
        <row r="8">
          <cell r="A8" t="str">
            <v>10 a 14 anos</v>
          </cell>
          <cell r="C8">
            <v>-4160</v>
          </cell>
          <cell r="D8">
            <v>4221</v>
          </cell>
        </row>
        <row r="9">
          <cell r="A9" t="str">
            <v>15 a 19 anos</v>
          </cell>
          <cell r="C9">
            <v>-3280</v>
          </cell>
          <cell r="D9">
            <v>3278</v>
          </cell>
        </row>
        <row r="10">
          <cell r="A10" t="str">
            <v>20 a 24 anos</v>
          </cell>
          <cell r="C10">
            <v>-2639</v>
          </cell>
          <cell r="D10">
            <v>2634</v>
          </cell>
        </row>
        <row r="11">
          <cell r="A11" t="str">
            <v>25 a 29 anos</v>
          </cell>
          <cell r="C11">
            <v>-2269</v>
          </cell>
          <cell r="D11">
            <v>2249</v>
          </cell>
        </row>
        <row r="12">
          <cell r="A12" t="str">
            <v>30 a 34 anos</v>
          </cell>
          <cell r="C12">
            <v>-1854</v>
          </cell>
          <cell r="D12">
            <v>1950</v>
          </cell>
        </row>
        <row r="13">
          <cell r="A13" t="str">
            <v>35 a 39 anos</v>
          </cell>
          <cell r="C13">
            <v>-1512</v>
          </cell>
          <cell r="D13">
            <v>1669</v>
          </cell>
        </row>
        <row r="14">
          <cell r="A14" t="str">
            <v>40 a 44 anos</v>
          </cell>
          <cell r="C14">
            <v>-1233</v>
          </cell>
          <cell r="D14">
            <v>1291</v>
          </cell>
        </row>
        <row r="15">
          <cell r="A15" t="str">
            <v>45 a 49 anos</v>
          </cell>
          <cell r="C15">
            <v>-1014</v>
          </cell>
          <cell r="D15">
            <v>1130</v>
          </cell>
        </row>
        <row r="16">
          <cell r="A16" t="str">
            <v>50 a 54 anos</v>
          </cell>
          <cell r="C16">
            <v>-871</v>
          </cell>
          <cell r="D16">
            <v>902</v>
          </cell>
        </row>
        <row r="17">
          <cell r="A17" t="str">
            <v>55 a 59 anos</v>
          </cell>
          <cell r="C17">
            <v>-801</v>
          </cell>
          <cell r="D17">
            <v>741</v>
          </cell>
        </row>
        <row r="18">
          <cell r="A18" t="str">
            <v>60 a 64 anos</v>
          </cell>
          <cell r="C18">
            <v>-651</v>
          </cell>
          <cell r="D18">
            <v>549</v>
          </cell>
        </row>
        <row r="19">
          <cell r="A19" t="str">
            <v>65 a 69 anos</v>
          </cell>
          <cell r="C19">
            <v>-650</v>
          </cell>
          <cell r="D19">
            <v>548</v>
          </cell>
        </row>
        <row r="20">
          <cell r="A20" t="str">
            <v>70 anos e +</v>
          </cell>
          <cell r="C20">
            <v>-1206</v>
          </cell>
          <cell r="D20">
            <v>1091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E14" sqref="E14"/>
    </sheetView>
  </sheetViews>
  <sheetFormatPr defaultRowHeight="15" x14ac:dyDescent="0.25"/>
  <cols>
    <col min="1" max="1" width="23.140625" customWidth="1"/>
    <col min="2" max="2" width="16.7109375" customWidth="1"/>
  </cols>
  <sheetData>
    <row r="1" spans="1:2" ht="15.75" customHeight="1" x14ac:dyDescent="0.25">
      <c r="A1" s="160" t="s">
        <v>0</v>
      </c>
      <c r="B1" s="160"/>
    </row>
    <row r="2" spans="1:2" ht="34.5" customHeight="1" x14ac:dyDescent="0.25">
      <c r="A2" s="161"/>
      <c r="B2" s="161"/>
    </row>
    <row r="3" spans="1:2" x14ac:dyDescent="0.25">
      <c r="A3" s="1" t="s">
        <v>1</v>
      </c>
      <c r="B3" s="2">
        <v>6.7</v>
      </c>
    </row>
    <row r="4" spans="1:2" x14ac:dyDescent="0.25">
      <c r="A4" s="3" t="s">
        <v>2</v>
      </c>
      <c r="B4" s="4">
        <v>5.5</v>
      </c>
    </row>
    <row r="5" spans="1:2" x14ac:dyDescent="0.25">
      <c r="A5" s="3" t="s">
        <v>3</v>
      </c>
      <c r="B5" s="4">
        <v>5.4</v>
      </c>
    </row>
    <row r="6" spans="1:2" x14ac:dyDescent="0.25">
      <c r="A6" s="3" t="s">
        <v>4</v>
      </c>
      <c r="B6" s="4">
        <v>4.5</v>
      </c>
    </row>
    <row r="7" spans="1:2" x14ac:dyDescent="0.25">
      <c r="A7" s="3" t="s">
        <v>5</v>
      </c>
      <c r="B7" s="4">
        <v>3.6</v>
      </c>
    </row>
    <row r="8" spans="1:2" x14ac:dyDescent="0.25">
      <c r="A8" s="3" t="s">
        <v>6</v>
      </c>
      <c r="B8" s="4">
        <v>6</v>
      </c>
    </row>
    <row r="9" spans="1:2" x14ac:dyDescent="0.25">
      <c r="A9" s="5" t="s">
        <v>7</v>
      </c>
      <c r="B9" s="6">
        <v>4.5</v>
      </c>
    </row>
    <row r="10" spans="1:2" x14ac:dyDescent="0.25">
      <c r="A10" s="159" t="s">
        <v>8</v>
      </c>
      <c r="B10" s="159"/>
    </row>
    <row r="11" spans="1:2" x14ac:dyDescent="0.25">
      <c r="A11" s="159"/>
      <c r="B11" s="159"/>
    </row>
  </sheetData>
  <mergeCells count="2">
    <mergeCell ref="A10:B11"/>
    <mergeCell ref="A1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16"/>
  <sheetViews>
    <sheetView workbookViewId="0">
      <selection activeCell="E7" sqref="E7:E14"/>
    </sheetView>
  </sheetViews>
  <sheetFormatPr defaultRowHeight="15" x14ac:dyDescent="0.25"/>
  <cols>
    <col min="5" max="5" width="14.7109375" customWidth="1"/>
  </cols>
  <sheetData>
    <row r="1" spans="5:12" x14ac:dyDescent="0.25">
      <c r="E1" s="175" t="s">
        <v>192</v>
      </c>
      <c r="F1" s="175"/>
      <c r="G1" s="175"/>
      <c r="H1" s="175"/>
      <c r="I1" s="175"/>
      <c r="J1" s="175"/>
      <c r="K1" s="175"/>
      <c r="L1" s="175"/>
    </row>
    <row r="2" spans="5:12" x14ac:dyDescent="0.25">
      <c r="E2" s="175"/>
      <c r="F2" s="175"/>
      <c r="G2" s="175"/>
      <c r="H2" s="175"/>
      <c r="I2" s="175"/>
      <c r="J2" s="175"/>
      <c r="K2" s="175"/>
      <c r="L2" s="175"/>
    </row>
    <row r="3" spans="5:12" x14ac:dyDescent="0.25">
      <c r="E3" s="249" t="s">
        <v>188</v>
      </c>
      <c r="F3" s="236" t="s">
        <v>182</v>
      </c>
      <c r="G3" s="237" t="s">
        <v>186</v>
      </c>
      <c r="H3" s="237"/>
      <c r="I3" s="237"/>
      <c r="J3" s="237"/>
      <c r="K3" s="237"/>
    </row>
    <row r="4" spans="5:12" ht="51" x14ac:dyDescent="0.25">
      <c r="E4" s="250"/>
      <c r="F4" s="237"/>
      <c r="G4" s="251" t="s">
        <v>183</v>
      </c>
      <c r="H4" s="251" t="s">
        <v>184</v>
      </c>
      <c r="I4" s="251" t="s">
        <v>185</v>
      </c>
      <c r="J4" s="251" t="s">
        <v>187</v>
      </c>
      <c r="K4" s="251" t="s">
        <v>191</v>
      </c>
    </row>
    <row r="5" spans="5:12" x14ac:dyDescent="0.25">
      <c r="E5" s="252"/>
      <c r="F5" s="253"/>
      <c r="G5" s="253"/>
      <c r="H5" s="254"/>
      <c r="I5" s="254"/>
      <c r="J5" s="254"/>
      <c r="K5" s="254"/>
    </row>
    <row r="6" spans="5:12" x14ac:dyDescent="0.25">
      <c r="E6" s="258" t="s">
        <v>181</v>
      </c>
      <c r="F6" s="241">
        <v>24</v>
      </c>
      <c r="G6" s="241">
        <v>2</v>
      </c>
      <c r="H6" s="241">
        <v>4</v>
      </c>
      <c r="I6" s="241" t="s">
        <v>21</v>
      </c>
      <c r="J6" s="241">
        <v>17</v>
      </c>
      <c r="K6" s="241">
        <v>1</v>
      </c>
    </row>
    <row r="7" spans="5:12" x14ac:dyDescent="0.25">
      <c r="E7" s="242" t="s">
        <v>189</v>
      </c>
      <c r="F7" s="255">
        <v>5</v>
      </c>
      <c r="G7" s="255" t="s">
        <v>21</v>
      </c>
      <c r="H7" s="255">
        <v>1</v>
      </c>
      <c r="I7" s="255" t="s">
        <v>21</v>
      </c>
      <c r="J7" s="255">
        <v>4</v>
      </c>
      <c r="K7" s="255" t="s">
        <v>21</v>
      </c>
    </row>
    <row r="8" spans="5:12" x14ac:dyDescent="0.25">
      <c r="E8" s="242" t="s">
        <v>142</v>
      </c>
      <c r="F8" s="255">
        <v>2</v>
      </c>
      <c r="G8" s="255" t="s">
        <v>21</v>
      </c>
      <c r="H8" s="255" t="s">
        <v>21</v>
      </c>
      <c r="I8" s="255" t="s">
        <v>21</v>
      </c>
      <c r="J8" s="255">
        <v>2</v>
      </c>
      <c r="K8" s="255" t="s">
        <v>21</v>
      </c>
    </row>
    <row r="9" spans="5:12" x14ac:dyDescent="0.25">
      <c r="E9" s="242" t="s">
        <v>143</v>
      </c>
      <c r="F9" s="255">
        <v>1</v>
      </c>
      <c r="G9" s="255" t="s">
        <v>21</v>
      </c>
      <c r="H9" s="255" t="s">
        <v>21</v>
      </c>
      <c r="I9" s="255" t="s">
        <v>21</v>
      </c>
      <c r="J9" s="255">
        <v>1</v>
      </c>
      <c r="K9" s="255" t="s">
        <v>21</v>
      </c>
    </row>
    <row r="10" spans="5:12" x14ac:dyDescent="0.25">
      <c r="E10" s="242" t="s">
        <v>144</v>
      </c>
      <c r="F10" s="255">
        <v>2</v>
      </c>
      <c r="G10" s="255" t="s">
        <v>21</v>
      </c>
      <c r="H10" s="255" t="s">
        <v>21</v>
      </c>
      <c r="I10" s="255" t="s">
        <v>21</v>
      </c>
      <c r="J10" s="255">
        <v>2</v>
      </c>
      <c r="K10" s="255" t="s">
        <v>21</v>
      </c>
    </row>
    <row r="11" spans="5:12" x14ac:dyDescent="0.25">
      <c r="E11" s="242" t="s">
        <v>145</v>
      </c>
      <c r="F11" s="255">
        <v>1</v>
      </c>
      <c r="G11" s="255" t="s">
        <v>21</v>
      </c>
      <c r="H11" s="255">
        <v>1</v>
      </c>
      <c r="I11" s="255" t="s">
        <v>21</v>
      </c>
      <c r="J11" s="255" t="s">
        <v>21</v>
      </c>
      <c r="K11" s="255" t="s">
        <v>21</v>
      </c>
    </row>
    <row r="12" spans="5:12" x14ac:dyDescent="0.25">
      <c r="E12" s="242" t="s">
        <v>146</v>
      </c>
      <c r="F12" s="255">
        <v>1</v>
      </c>
      <c r="G12" s="255" t="s">
        <v>21</v>
      </c>
      <c r="H12" s="255">
        <v>1</v>
      </c>
      <c r="I12" s="255" t="s">
        <v>21</v>
      </c>
      <c r="J12" s="255" t="s">
        <v>21</v>
      </c>
      <c r="K12" s="255" t="s">
        <v>21</v>
      </c>
    </row>
    <row r="13" spans="5:12" x14ac:dyDescent="0.25">
      <c r="E13" s="242" t="s">
        <v>147</v>
      </c>
      <c r="F13" s="255">
        <v>1</v>
      </c>
      <c r="G13" s="255" t="s">
        <v>21</v>
      </c>
      <c r="H13" s="255" t="s">
        <v>21</v>
      </c>
      <c r="I13" s="255" t="s">
        <v>21</v>
      </c>
      <c r="J13" s="255">
        <v>1</v>
      </c>
      <c r="K13" s="255" t="s">
        <v>21</v>
      </c>
    </row>
    <row r="14" spans="5:12" x14ac:dyDescent="0.25">
      <c r="E14" s="242" t="s">
        <v>148</v>
      </c>
      <c r="F14" s="255">
        <v>1</v>
      </c>
      <c r="G14" s="255" t="s">
        <v>21</v>
      </c>
      <c r="H14" s="255" t="s">
        <v>21</v>
      </c>
      <c r="I14" s="255" t="s">
        <v>21</v>
      </c>
      <c r="J14" s="255">
        <v>1</v>
      </c>
      <c r="K14" s="255" t="s">
        <v>21</v>
      </c>
    </row>
    <row r="15" spans="5:12" x14ac:dyDescent="0.25">
      <c r="E15" s="256" t="s">
        <v>190</v>
      </c>
      <c r="F15" s="257">
        <v>10</v>
      </c>
      <c r="G15" s="257">
        <v>2</v>
      </c>
      <c r="H15" s="257">
        <v>1</v>
      </c>
      <c r="I15" s="257" t="s">
        <v>21</v>
      </c>
      <c r="J15" s="257">
        <v>6</v>
      </c>
      <c r="K15" s="257">
        <v>1</v>
      </c>
    </row>
    <row r="16" spans="5:12" x14ac:dyDescent="0.25">
      <c r="E16" s="259" t="s">
        <v>161</v>
      </c>
      <c r="F16" s="259"/>
      <c r="G16" s="259"/>
      <c r="H16" s="259"/>
      <c r="I16" s="259"/>
      <c r="J16" s="259"/>
      <c r="K16" s="259"/>
    </row>
  </sheetData>
  <mergeCells count="4">
    <mergeCell ref="E3:E4"/>
    <mergeCell ref="F3:F4"/>
    <mergeCell ref="G3:K3"/>
    <mergeCell ref="E1:L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14"/>
  <sheetViews>
    <sheetView workbookViewId="0">
      <selection activeCell="L15" sqref="L15"/>
    </sheetView>
  </sheetViews>
  <sheetFormatPr defaultRowHeight="15" x14ac:dyDescent="0.25"/>
  <cols>
    <col min="1" max="4" width="9.140625" style="49"/>
    <col min="5" max="5" width="13.7109375" style="49" customWidth="1"/>
    <col min="6" max="6" width="9.140625" style="49"/>
    <col min="7" max="7" width="12.5703125" style="49" customWidth="1"/>
    <col min="8" max="8" width="11.85546875" style="49" customWidth="1"/>
    <col min="9" max="9" width="17.85546875" style="49" customWidth="1"/>
    <col min="10" max="10" width="13.140625" style="49" customWidth="1"/>
    <col min="11" max="16384" width="9.140625" style="49"/>
  </cols>
  <sheetData>
    <row r="1" spans="5:10" x14ac:dyDescent="0.25">
      <c r="E1" s="175" t="s">
        <v>222</v>
      </c>
      <c r="F1" s="175"/>
      <c r="G1" s="175"/>
      <c r="H1" s="175"/>
      <c r="I1" s="175"/>
      <c r="J1" s="175"/>
    </row>
    <row r="2" spans="5:10" ht="31.5" customHeight="1" x14ac:dyDescent="0.25">
      <c r="E2" s="175"/>
      <c r="F2" s="175"/>
      <c r="G2" s="175"/>
      <c r="H2" s="175"/>
      <c r="I2" s="175"/>
      <c r="J2" s="175"/>
    </row>
    <row r="3" spans="5:10" x14ac:dyDescent="0.25">
      <c r="E3" s="236" t="s">
        <v>195</v>
      </c>
      <c r="F3" s="237" t="s">
        <v>193</v>
      </c>
      <c r="G3" s="237"/>
      <c r="H3" s="237"/>
      <c r="I3" s="237"/>
      <c r="J3" s="236" t="s">
        <v>198</v>
      </c>
    </row>
    <row r="4" spans="5:10" ht="42.75" customHeight="1" x14ac:dyDescent="0.25">
      <c r="E4" s="237"/>
      <c r="F4" s="251" t="s">
        <v>27</v>
      </c>
      <c r="G4" s="251" t="s">
        <v>194</v>
      </c>
      <c r="H4" s="251" t="s">
        <v>196</v>
      </c>
      <c r="I4" s="251" t="s">
        <v>197</v>
      </c>
      <c r="J4" s="237"/>
    </row>
    <row r="5" spans="5:10" ht="33.75" customHeight="1" x14ac:dyDescent="0.25">
      <c r="E5" s="260" t="s">
        <v>199</v>
      </c>
      <c r="F5" s="261">
        <v>4708</v>
      </c>
      <c r="G5" s="261">
        <v>775</v>
      </c>
      <c r="H5" s="261">
        <v>3652</v>
      </c>
      <c r="I5" s="261">
        <v>281</v>
      </c>
      <c r="J5" s="261">
        <v>775</v>
      </c>
    </row>
    <row r="6" spans="5:10" x14ac:dyDescent="0.25">
      <c r="E6" s="242" t="s">
        <v>189</v>
      </c>
      <c r="F6" s="262">
        <v>706</v>
      </c>
      <c r="G6" s="263">
        <v>24</v>
      </c>
      <c r="H6" s="262">
        <v>675</v>
      </c>
      <c r="I6" s="262">
        <v>7</v>
      </c>
      <c r="J6" s="262">
        <v>24</v>
      </c>
    </row>
    <row r="7" spans="5:10" x14ac:dyDescent="0.25">
      <c r="E7" s="242" t="s">
        <v>142</v>
      </c>
      <c r="F7" s="264">
        <v>1187</v>
      </c>
      <c r="G7" s="265">
        <v>282</v>
      </c>
      <c r="H7" s="264">
        <v>827</v>
      </c>
      <c r="I7" s="264">
        <v>78</v>
      </c>
      <c r="J7" s="264">
        <v>282</v>
      </c>
    </row>
    <row r="8" spans="5:10" x14ac:dyDescent="0.25">
      <c r="E8" s="242" t="s">
        <v>143</v>
      </c>
      <c r="F8" s="264">
        <v>849</v>
      </c>
      <c r="G8" s="265">
        <v>187</v>
      </c>
      <c r="H8" s="264">
        <v>596</v>
      </c>
      <c r="I8" s="264">
        <v>66</v>
      </c>
      <c r="J8" s="264">
        <v>187</v>
      </c>
    </row>
    <row r="9" spans="5:10" x14ac:dyDescent="0.25">
      <c r="E9" s="242" t="s">
        <v>144</v>
      </c>
      <c r="F9" s="264">
        <v>590</v>
      </c>
      <c r="G9" s="265">
        <v>121</v>
      </c>
      <c r="H9" s="264">
        <v>429</v>
      </c>
      <c r="I9" s="264">
        <v>40</v>
      </c>
      <c r="J9" s="264">
        <v>121</v>
      </c>
    </row>
    <row r="10" spans="5:10" x14ac:dyDescent="0.25">
      <c r="E10" s="242" t="s">
        <v>145</v>
      </c>
      <c r="F10" s="264">
        <v>466</v>
      </c>
      <c r="G10" s="265">
        <v>82</v>
      </c>
      <c r="H10" s="264">
        <v>351</v>
      </c>
      <c r="I10" s="264">
        <v>33</v>
      </c>
      <c r="J10" s="264">
        <v>82</v>
      </c>
    </row>
    <row r="11" spans="5:10" x14ac:dyDescent="0.25">
      <c r="E11" s="242" t="s">
        <v>146</v>
      </c>
      <c r="F11" s="264">
        <v>414</v>
      </c>
      <c r="G11" s="265">
        <v>53</v>
      </c>
      <c r="H11" s="264">
        <v>331</v>
      </c>
      <c r="I11" s="264">
        <v>30</v>
      </c>
      <c r="J11" s="264">
        <v>53</v>
      </c>
    </row>
    <row r="12" spans="5:10" x14ac:dyDescent="0.25">
      <c r="E12" s="242" t="s">
        <v>147</v>
      </c>
      <c r="F12" s="264">
        <v>276</v>
      </c>
      <c r="G12" s="265">
        <v>18</v>
      </c>
      <c r="H12" s="264">
        <v>241</v>
      </c>
      <c r="I12" s="264">
        <v>17</v>
      </c>
      <c r="J12" s="264">
        <v>18</v>
      </c>
    </row>
    <row r="13" spans="5:10" x14ac:dyDescent="0.25">
      <c r="E13" s="242" t="s">
        <v>148</v>
      </c>
      <c r="F13" s="266">
        <v>220</v>
      </c>
      <c r="G13" s="267">
        <v>8</v>
      </c>
      <c r="H13" s="266">
        <v>202</v>
      </c>
      <c r="I13" s="266">
        <v>10</v>
      </c>
      <c r="J13" s="266">
        <v>8</v>
      </c>
    </row>
    <row r="14" spans="5:10" x14ac:dyDescent="0.25">
      <c r="E14" s="259" t="s">
        <v>161</v>
      </c>
      <c r="F14" s="47"/>
      <c r="G14" s="47"/>
      <c r="H14" s="47"/>
      <c r="I14" s="47"/>
      <c r="J14" s="47"/>
    </row>
  </sheetData>
  <mergeCells count="4">
    <mergeCell ref="E3:E4"/>
    <mergeCell ref="F3:I3"/>
    <mergeCell ref="J3:J4"/>
    <mergeCell ref="E1:J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40"/>
  <sheetViews>
    <sheetView workbookViewId="0">
      <selection activeCell="K16" sqref="K16"/>
    </sheetView>
  </sheetViews>
  <sheetFormatPr defaultRowHeight="15" x14ac:dyDescent="0.25"/>
  <cols>
    <col min="4" max="4" width="23.140625" customWidth="1"/>
    <col min="6" max="6" width="7.85546875" customWidth="1"/>
    <col min="7" max="7" width="8.140625" customWidth="1"/>
    <col min="8" max="8" width="7.7109375" customWidth="1"/>
    <col min="9" max="9" width="7" customWidth="1"/>
    <col min="10" max="10" width="7.140625" customWidth="1"/>
    <col min="11" max="15" width="8" customWidth="1"/>
    <col min="16" max="16" width="7.42578125" customWidth="1"/>
    <col min="17" max="17" width="8.140625" customWidth="1"/>
  </cols>
  <sheetData>
    <row r="2" spans="4:17" ht="15.75" customHeight="1" x14ac:dyDescent="0.25">
      <c r="D2" s="175" t="s">
        <v>223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4:17" x14ac:dyDescent="0.25"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4:17" x14ac:dyDescent="0.25">
      <c r="D4" s="281" t="s">
        <v>218</v>
      </c>
      <c r="E4" s="281" t="s">
        <v>27</v>
      </c>
      <c r="F4" s="282" t="s">
        <v>42</v>
      </c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</row>
    <row r="5" spans="4:17" x14ac:dyDescent="0.25">
      <c r="D5" s="281"/>
      <c r="E5" s="281"/>
      <c r="F5" s="281" t="s">
        <v>179</v>
      </c>
      <c r="G5" s="281" t="s">
        <v>141</v>
      </c>
      <c r="H5" s="281" t="s">
        <v>142</v>
      </c>
      <c r="I5" s="281" t="s">
        <v>143</v>
      </c>
      <c r="J5" s="281" t="s">
        <v>144</v>
      </c>
      <c r="K5" s="281" t="s">
        <v>145</v>
      </c>
      <c r="L5" s="281" t="s">
        <v>146</v>
      </c>
      <c r="M5" s="281" t="s">
        <v>147</v>
      </c>
      <c r="N5" s="281" t="s">
        <v>148</v>
      </c>
      <c r="O5" s="281" t="s">
        <v>149</v>
      </c>
      <c r="P5" s="281" t="s">
        <v>150</v>
      </c>
      <c r="Q5" s="281" t="s">
        <v>180</v>
      </c>
    </row>
    <row r="6" spans="4:17" x14ac:dyDescent="0.25"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</row>
    <row r="7" spans="4:17" x14ac:dyDescent="0.25">
      <c r="D7" s="283" t="s">
        <v>27</v>
      </c>
      <c r="E7" s="284">
        <v>4407</v>
      </c>
      <c r="F7" s="284">
        <v>1689</v>
      </c>
      <c r="G7" s="284">
        <v>1791</v>
      </c>
      <c r="H7" s="284">
        <v>547</v>
      </c>
      <c r="I7" s="284">
        <v>178</v>
      </c>
      <c r="J7" s="284">
        <v>99</v>
      </c>
      <c r="K7" s="284">
        <v>50</v>
      </c>
      <c r="L7" s="284">
        <v>20</v>
      </c>
      <c r="M7" s="284">
        <v>15</v>
      </c>
      <c r="N7" s="284">
        <v>9</v>
      </c>
      <c r="O7" s="284">
        <v>5</v>
      </c>
      <c r="P7" s="284">
        <v>2</v>
      </c>
      <c r="Q7" s="284">
        <v>2</v>
      </c>
    </row>
    <row r="8" spans="4:17" x14ac:dyDescent="0.25">
      <c r="D8" s="285" t="s">
        <v>200</v>
      </c>
      <c r="E8" s="263">
        <v>32</v>
      </c>
      <c r="F8" s="263">
        <v>29</v>
      </c>
      <c r="G8" s="263">
        <v>3</v>
      </c>
      <c r="H8" s="263" t="s">
        <v>21</v>
      </c>
      <c r="I8" s="263" t="s">
        <v>21</v>
      </c>
      <c r="J8" s="263" t="s">
        <v>21</v>
      </c>
      <c r="K8" s="263" t="s">
        <v>21</v>
      </c>
      <c r="L8" s="263" t="s">
        <v>21</v>
      </c>
      <c r="M8" s="263" t="s">
        <v>21</v>
      </c>
      <c r="N8" s="263" t="s">
        <v>21</v>
      </c>
      <c r="O8" s="263" t="s">
        <v>21</v>
      </c>
      <c r="P8" s="263" t="s">
        <v>21</v>
      </c>
      <c r="Q8" s="263" t="s">
        <v>21</v>
      </c>
    </row>
    <row r="9" spans="4:17" ht="19.5" customHeight="1" x14ac:dyDescent="0.25">
      <c r="D9" s="286" t="s">
        <v>201</v>
      </c>
      <c r="E9" s="265">
        <v>8</v>
      </c>
      <c r="F9" s="265">
        <v>8</v>
      </c>
      <c r="G9" s="265" t="s">
        <v>21</v>
      </c>
      <c r="H9" s="265" t="s">
        <v>21</v>
      </c>
      <c r="I9" s="265" t="s">
        <v>21</v>
      </c>
      <c r="J9" s="265" t="s">
        <v>21</v>
      </c>
      <c r="K9" s="265" t="s">
        <v>21</v>
      </c>
      <c r="L9" s="265" t="s">
        <v>21</v>
      </c>
      <c r="M9" s="265" t="s">
        <v>21</v>
      </c>
      <c r="N9" s="265" t="s">
        <v>21</v>
      </c>
      <c r="O9" s="265" t="s">
        <v>21</v>
      </c>
      <c r="P9" s="265" t="s">
        <v>21</v>
      </c>
      <c r="Q9" s="265" t="s">
        <v>21</v>
      </c>
    </row>
    <row r="10" spans="4:17" ht="24.75" customHeight="1" x14ac:dyDescent="0.25">
      <c r="D10" s="286" t="s">
        <v>202</v>
      </c>
      <c r="E10" s="265">
        <v>62</v>
      </c>
      <c r="F10" s="265" t="s">
        <v>21</v>
      </c>
      <c r="G10" s="265" t="s">
        <v>21</v>
      </c>
      <c r="H10" s="265">
        <v>19</v>
      </c>
      <c r="I10" s="265">
        <v>16</v>
      </c>
      <c r="J10" s="265">
        <v>10</v>
      </c>
      <c r="K10" s="265">
        <v>9</v>
      </c>
      <c r="L10" s="265">
        <v>4</v>
      </c>
      <c r="M10" s="265" t="s">
        <v>21</v>
      </c>
      <c r="N10" s="265">
        <v>1</v>
      </c>
      <c r="O10" s="265">
        <v>1</v>
      </c>
      <c r="P10" s="265">
        <v>1</v>
      </c>
      <c r="Q10" s="265">
        <v>1</v>
      </c>
    </row>
    <row r="11" spans="4:17" ht="18" customHeight="1" x14ac:dyDescent="0.25">
      <c r="D11" s="286" t="s">
        <v>212</v>
      </c>
      <c r="E11" s="265">
        <v>244</v>
      </c>
      <c r="F11" s="265">
        <v>235</v>
      </c>
      <c r="G11" s="265">
        <v>8</v>
      </c>
      <c r="H11" s="265">
        <v>1</v>
      </c>
      <c r="I11" s="265" t="s">
        <v>21</v>
      </c>
      <c r="J11" s="265" t="s">
        <v>21</v>
      </c>
      <c r="K11" s="265" t="s">
        <v>21</v>
      </c>
      <c r="L11" s="265" t="s">
        <v>21</v>
      </c>
      <c r="M11" s="265" t="s">
        <v>21</v>
      </c>
      <c r="N11" s="265" t="s">
        <v>21</v>
      </c>
      <c r="O11" s="265" t="s">
        <v>21</v>
      </c>
      <c r="P11" s="265" t="s">
        <v>21</v>
      </c>
      <c r="Q11" s="265" t="s">
        <v>21</v>
      </c>
    </row>
    <row r="12" spans="4:17" ht="16.5" customHeight="1" x14ac:dyDescent="0.25">
      <c r="D12" s="286" t="s">
        <v>219</v>
      </c>
      <c r="E12" s="265">
        <v>3592</v>
      </c>
      <c r="F12" s="265">
        <v>1416</v>
      </c>
      <c r="G12" s="265">
        <v>1665</v>
      </c>
      <c r="H12" s="265">
        <v>308</v>
      </c>
      <c r="I12" s="265">
        <v>87</v>
      </c>
      <c r="J12" s="265">
        <v>54</v>
      </c>
      <c r="K12" s="265">
        <v>26</v>
      </c>
      <c r="L12" s="265">
        <v>13</v>
      </c>
      <c r="M12" s="265">
        <v>11</v>
      </c>
      <c r="N12" s="265">
        <v>6</v>
      </c>
      <c r="O12" s="265">
        <v>4</v>
      </c>
      <c r="P12" s="265">
        <v>1</v>
      </c>
      <c r="Q12" s="265">
        <v>1</v>
      </c>
    </row>
    <row r="13" spans="4:17" x14ac:dyDescent="0.25">
      <c r="D13" s="287" t="s">
        <v>203</v>
      </c>
      <c r="E13" s="265">
        <v>813</v>
      </c>
      <c r="F13" s="265">
        <v>676</v>
      </c>
      <c r="G13" s="265">
        <v>112</v>
      </c>
      <c r="H13" s="265">
        <v>16</v>
      </c>
      <c r="I13" s="265">
        <v>8</v>
      </c>
      <c r="J13" s="265" t="s">
        <v>21</v>
      </c>
      <c r="K13" s="265" t="s">
        <v>21</v>
      </c>
      <c r="L13" s="265">
        <v>1</v>
      </c>
      <c r="M13" s="265" t="s">
        <v>21</v>
      </c>
      <c r="N13" s="265" t="s">
        <v>21</v>
      </c>
      <c r="O13" s="265" t="s">
        <v>21</v>
      </c>
      <c r="P13" s="265" t="s">
        <v>21</v>
      </c>
      <c r="Q13" s="265" t="s">
        <v>21</v>
      </c>
    </row>
    <row r="14" spans="4:17" x14ac:dyDescent="0.25">
      <c r="D14" s="287" t="s">
        <v>204</v>
      </c>
      <c r="E14" s="265">
        <v>858</v>
      </c>
      <c r="F14" s="265">
        <v>475</v>
      </c>
      <c r="G14" s="265">
        <v>302</v>
      </c>
      <c r="H14" s="265">
        <v>42</v>
      </c>
      <c r="I14" s="265">
        <v>13</v>
      </c>
      <c r="J14" s="265">
        <v>13</v>
      </c>
      <c r="K14" s="265">
        <v>6</v>
      </c>
      <c r="L14" s="265">
        <v>4</v>
      </c>
      <c r="M14" s="265">
        <v>1</v>
      </c>
      <c r="N14" s="265">
        <v>1</v>
      </c>
      <c r="O14" s="265" t="s">
        <v>21</v>
      </c>
      <c r="P14" s="265" t="s">
        <v>21</v>
      </c>
      <c r="Q14" s="265">
        <v>1</v>
      </c>
    </row>
    <row r="15" spans="4:17" x14ac:dyDescent="0.25">
      <c r="D15" s="287" t="s">
        <v>205</v>
      </c>
      <c r="E15" s="265">
        <v>713</v>
      </c>
      <c r="F15" s="265">
        <v>211</v>
      </c>
      <c r="G15" s="265">
        <v>410</v>
      </c>
      <c r="H15" s="265">
        <v>43</v>
      </c>
      <c r="I15" s="265">
        <v>18</v>
      </c>
      <c r="J15" s="265">
        <v>14</v>
      </c>
      <c r="K15" s="265">
        <v>10</v>
      </c>
      <c r="L15" s="265">
        <v>3</v>
      </c>
      <c r="M15" s="265">
        <v>2</v>
      </c>
      <c r="N15" s="265" t="s">
        <v>21</v>
      </c>
      <c r="O15" s="265">
        <v>2</v>
      </c>
      <c r="P15" s="265" t="s">
        <v>21</v>
      </c>
      <c r="Q15" s="265" t="s">
        <v>21</v>
      </c>
    </row>
    <row r="16" spans="4:17" x14ac:dyDescent="0.25">
      <c r="D16" s="287" t="s">
        <v>206</v>
      </c>
      <c r="E16" s="265">
        <v>557</v>
      </c>
      <c r="F16" s="265">
        <v>39</v>
      </c>
      <c r="G16" s="265">
        <v>410</v>
      </c>
      <c r="H16" s="265">
        <v>60</v>
      </c>
      <c r="I16" s="265">
        <v>24</v>
      </c>
      <c r="J16" s="265">
        <v>11</v>
      </c>
      <c r="K16" s="265">
        <v>4</v>
      </c>
      <c r="L16" s="265">
        <v>3</v>
      </c>
      <c r="M16" s="265">
        <v>3</v>
      </c>
      <c r="N16" s="265">
        <v>2</v>
      </c>
      <c r="O16" s="265">
        <v>1</v>
      </c>
      <c r="P16" s="265" t="s">
        <v>21</v>
      </c>
      <c r="Q16" s="265" t="s">
        <v>21</v>
      </c>
    </row>
    <row r="17" spans="4:17" x14ac:dyDescent="0.25">
      <c r="D17" s="287" t="s">
        <v>207</v>
      </c>
      <c r="E17" s="265">
        <v>315</v>
      </c>
      <c r="F17" s="265" t="s">
        <v>21</v>
      </c>
      <c r="G17" s="265">
        <v>233</v>
      </c>
      <c r="H17" s="265">
        <v>56</v>
      </c>
      <c r="I17" s="265">
        <v>11</v>
      </c>
      <c r="J17" s="265">
        <v>3</v>
      </c>
      <c r="K17" s="265">
        <v>4</v>
      </c>
      <c r="L17" s="265">
        <v>1</v>
      </c>
      <c r="M17" s="265">
        <v>3</v>
      </c>
      <c r="N17" s="265">
        <v>3</v>
      </c>
      <c r="O17" s="265" t="s">
        <v>21</v>
      </c>
      <c r="P17" s="265">
        <v>1</v>
      </c>
      <c r="Q17" s="265" t="s">
        <v>21</v>
      </c>
    </row>
    <row r="18" spans="4:17" x14ac:dyDescent="0.25">
      <c r="D18" s="287" t="s">
        <v>208</v>
      </c>
      <c r="E18" s="265">
        <v>293</v>
      </c>
      <c r="F18" s="265" t="s">
        <v>21</v>
      </c>
      <c r="G18" s="265">
        <v>177</v>
      </c>
      <c r="H18" s="265">
        <v>87</v>
      </c>
      <c r="I18" s="265">
        <v>13</v>
      </c>
      <c r="J18" s="265">
        <v>11</v>
      </c>
      <c r="K18" s="265">
        <v>2</v>
      </c>
      <c r="L18" s="265" t="s">
        <v>21</v>
      </c>
      <c r="M18" s="265">
        <v>2</v>
      </c>
      <c r="N18" s="265" t="s">
        <v>21</v>
      </c>
      <c r="O18" s="265">
        <v>1</v>
      </c>
      <c r="P18" s="265" t="s">
        <v>21</v>
      </c>
      <c r="Q18" s="265" t="s">
        <v>21</v>
      </c>
    </row>
    <row r="19" spans="4:17" ht="14.25" customHeight="1" x14ac:dyDescent="0.25">
      <c r="D19" s="287" t="s">
        <v>213</v>
      </c>
      <c r="E19" s="265">
        <v>43</v>
      </c>
      <c r="F19" s="265">
        <v>15</v>
      </c>
      <c r="G19" s="265">
        <v>21</v>
      </c>
      <c r="H19" s="265">
        <v>4</v>
      </c>
      <c r="I19" s="265" t="s">
        <v>21</v>
      </c>
      <c r="J19" s="265">
        <v>2</v>
      </c>
      <c r="K19" s="265" t="s">
        <v>21</v>
      </c>
      <c r="L19" s="265">
        <v>1</v>
      </c>
      <c r="M19" s="265" t="s">
        <v>21</v>
      </c>
      <c r="N19" s="265" t="s">
        <v>21</v>
      </c>
      <c r="O19" s="265" t="s">
        <v>21</v>
      </c>
      <c r="P19" s="265" t="s">
        <v>21</v>
      </c>
      <c r="Q19" s="265" t="s">
        <v>21</v>
      </c>
    </row>
    <row r="20" spans="4:17" ht="15" customHeight="1" x14ac:dyDescent="0.25">
      <c r="D20" s="288" t="s">
        <v>214</v>
      </c>
      <c r="E20" s="289">
        <v>2.84771714922049</v>
      </c>
      <c r="F20" s="290">
        <v>1.7055084745762712</v>
      </c>
      <c r="G20" s="290">
        <v>3.4912912912912915</v>
      </c>
      <c r="H20" s="290">
        <v>4.1266233766233764</v>
      </c>
      <c r="I20" s="290">
        <v>3.6436781609195403</v>
      </c>
      <c r="J20" s="290">
        <v>3.574074074074074</v>
      </c>
      <c r="K20" s="290">
        <v>3.4615384615384617</v>
      </c>
      <c r="L20" s="290">
        <v>2.6923076923076925</v>
      </c>
      <c r="M20" s="290">
        <v>4.2727272727272725</v>
      </c>
      <c r="N20" s="290">
        <v>4.166666666666667</v>
      </c>
      <c r="O20" s="290">
        <v>4</v>
      </c>
      <c r="P20" s="290">
        <v>5</v>
      </c>
      <c r="Q20" s="290">
        <v>2</v>
      </c>
    </row>
    <row r="21" spans="4:17" ht="18.75" customHeight="1" x14ac:dyDescent="0.25">
      <c r="D21" s="286" t="s">
        <v>215</v>
      </c>
      <c r="E21" s="265">
        <v>357</v>
      </c>
      <c r="F21" s="265" t="s">
        <v>21</v>
      </c>
      <c r="G21" s="265">
        <v>112</v>
      </c>
      <c r="H21" s="265">
        <v>171</v>
      </c>
      <c r="I21" s="265">
        <v>44</v>
      </c>
      <c r="J21" s="265">
        <v>21</v>
      </c>
      <c r="K21" s="265">
        <v>8</v>
      </c>
      <c r="L21" s="265" t="s">
        <v>21</v>
      </c>
      <c r="M21" s="265">
        <v>1</v>
      </c>
      <c r="N21" s="265" t="s">
        <v>21</v>
      </c>
      <c r="O21" s="265" t="s">
        <v>21</v>
      </c>
      <c r="P21" s="265" t="s">
        <v>21</v>
      </c>
      <c r="Q21" s="265" t="s">
        <v>21</v>
      </c>
    </row>
    <row r="22" spans="4:17" x14ac:dyDescent="0.25">
      <c r="D22" s="287" t="s">
        <v>209</v>
      </c>
      <c r="E22" s="265">
        <v>158</v>
      </c>
      <c r="F22" s="265" t="s">
        <v>21</v>
      </c>
      <c r="G22" s="265">
        <v>72</v>
      </c>
      <c r="H22" s="265">
        <v>60</v>
      </c>
      <c r="I22" s="265">
        <v>16</v>
      </c>
      <c r="J22" s="265">
        <v>6</v>
      </c>
      <c r="K22" s="265">
        <v>4</v>
      </c>
      <c r="L22" s="265" t="s">
        <v>21</v>
      </c>
      <c r="M22" s="265" t="s">
        <v>21</v>
      </c>
      <c r="N22" s="265" t="s">
        <v>21</v>
      </c>
      <c r="O22" s="265" t="s">
        <v>21</v>
      </c>
      <c r="P22" s="265" t="s">
        <v>21</v>
      </c>
      <c r="Q22" s="265" t="s">
        <v>21</v>
      </c>
    </row>
    <row r="23" spans="4:17" x14ac:dyDescent="0.25">
      <c r="D23" s="287" t="s">
        <v>210</v>
      </c>
      <c r="E23" s="265">
        <v>106</v>
      </c>
      <c r="F23" s="265" t="s">
        <v>21</v>
      </c>
      <c r="G23" s="265">
        <v>32</v>
      </c>
      <c r="H23" s="265">
        <v>57</v>
      </c>
      <c r="I23" s="265">
        <v>10</v>
      </c>
      <c r="J23" s="265">
        <v>5</v>
      </c>
      <c r="K23" s="265">
        <v>2</v>
      </c>
      <c r="L23" s="265" t="s">
        <v>21</v>
      </c>
      <c r="M23" s="265" t="s">
        <v>21</v>
      </c>
      <c r="N23" s="265" t="s">
        <v>21</v>
      </c>
      <c r="O23" s="265" t="s">
        <v>21</v>
      </c>
      <c r="P23" s="265" t="s">
        <v>21</v>
      </c>
      <c r="Q23" s="265" t="s">
        <v>21</v>
      </c>
    </row>
    <row r="24" spans="4:17" x14ac:dyDescent="0.25">
      <c r="D24" s="287" t="s">
        <v>211</v>
      </c>
      <c r="E24" s="265">
        <v>93</v>
      </c>
      <c r="F24" s="265" t="s">
        <v>21</v>
      </c>
      <c r="G24" s="265">
        <v>8</v>
      </c>
      <c r="H24" s="265">
        <v>54</v>
      </c>
      <c r="I24" s="265">
        <v>18</v>
      </c>
      <c r="J24" s="265">
        <v>10</v>
      </c>
      <c r="K24" s="265">
        <v>2</v>
      </c>
      <c r="L24" s="265" t="s">
        <v>21</v>
      </c>
      <c r="M24" s="265">
        <v>1</v>
      </c>
      <c r="N24" s="265" t="s">
        <v>21</v>
      </c>
      <c r="O24" s="265" t="s">
        <v>21</v>
      </c>
      <c r="P24" s="265" t="s">
        <v>21</v>
      </c>
      <c r="Q24" s="265" t="s">
        <v>21</v>
      </c>
    </row>
    <row r="25" spans="4:17" ht="18.75" customHeight="1" x14ac:dyDescent="0.25">
      <c r="D25" s="288" t="s">
        <v>214</v>
      </c>
      <c r="E25" s="289">
        <v>7.8179271708683471</v>
      </c>
      <c r="F25" s="290" t="s">
        <v>21</v>
      </c>
      <c r="G25" s="290">
        <v>7.4285714285714288</v>
      </c>
      <c r="H25" s="290">
        <v>7.9649122807017543</v>
      </c>
      <c r="I25" s="290">
        <v>8.045454545454545</v>
      </c>
      <c r="J25" s="290">
        <v>8.1904761904761898</v>
      </c>
      <c r="K25" s="290">
        <v>7.75</v>
      </c>
      <c r="L25" s="290" t="s">
        <v>21</v>
      </c>
      <c r="M25" s="290">
        <v>9</v>
      </c>
      <c r="N25" s="290" t="s">
        <v>21</v>
      </c>
      <c r="O25" s="290" t="s">
        <v>21</v>
      </c>
      <c r="P25" s="290" t="s">
        <v>21</v>
      </c>
      <c r="Q25" s="290" t="s">
        <v>21</v>
      </c>
    </row>
    <row r="26" spans="4:17" ht="18.75" customHeight="1" x14ac:dyDescent="0.25">
      <c r="D26" s="286" t="s">
        <v>216</v>
      </c>
      <c r="E26" s="265">
        <v>91</v>
      </c>
      <c r="F26" s="265" t="s">
        <v>21</v>
      </c>
      <c r="G26" s="265" t="s">
        <v>21</v>
      </c>
      <c r="H26" s="265">
        <v>47</v>
      </c>
      <c r="I26" s="265">
        <v>25</v>
      </c>
      <c r="J26" s="265">
        <v>8</v>
      </c>
      <c r="K26" s="265">
        <v>5</v>
      </c>
      <c r="L26" s="265">
        <v>3</v>
      </c>
      <c r="M26" s="265">
        <v>1</v>
      </c>
      <c r="N26" s="265">
        <v>2</v>
      </c>
      <c r="O26" s="265" t="s">
        <v>21</v>
      </c>
      <c r="P26" s="265" t="s">
        <v>21</v>
      </c>
      <c r="Q26" s="265" t="s">
        <v>21</v>
      </c>
    </row>
    <row r="27" spans="4:17" x14ac:dyDescent="0.25">
      <c r="D27" s="287" t="s">
        <v>203</v>
      </c>
      <c r="E27" s="265">
        <v>46</v>
      </c>
      <c r="F27" s="265" t="s">
        <v>21</v>
      </c>
      <c r="G27" s="265" t="s">
        <v>21</v>
      </c>
      <c r="H27" s="265">
        <v>26</v>
      </c>
      <c r="I27" s="265">
        <v>10</v>
      </c>
      <c r="J27" s="265">
        <v>2</v>
      </c>
      <c r="K27" s="265">
        <v>5</v>
      </c>
      <c r="L27" s="265">
        <v>2</v>
      </c>
      <c r="M27" s="265">
        <v>1</v>
      </c>
      <c r="N27" s="265" t="s">
        <v>21</v>
      </c>
      <c r="O27" s="265" t="s">
        <v>21</v>
      </c>
      <c r="P27" s="265" t="s">
        <v>21</v>
      </c>
      <c r="Q27" s="265" t="s">
        <v>21</v>
      </c>
    </row>
    <row r="28" spans="4:17" x14ac:dyDescent="0.25">
      <c r="D28" s="287" t="s">
        <v>204</v>
      </c>
      <c r="E28" s="265">
        <v>27</v>
      </c>
      <c r="F28" s="265" t="s">
        <v>21</v>
      </c>
      <c r="G28" s="265" t="s">
        <v>21</v>
      </c>
      <c r="H28" s="265">
        <v>18</v>
      </c>
      <c r="I28" s="265">
        <v>6</v>
      </c>
      <c r="J28" s="265">
        <v>2</v>
      </c>
      <c r="K28" s="265" t="s">
        <v>21</v>
      </c>
      <c r="L28" s="265">
        <v>1</v>
      </c>
      <c r="M28" s="265" t="s">
        <v>21</v>
      </c>
      <c r="N28" s="265" t="s">
        <v>21</v>
      </c>
      <c r="O28" s="265" t="s">
        <v>21</v>
      </c>
      <c r="P28" s="265" t="s">
        <v>21</v>
      </c>
      <c r="Q28" s="265" t="s">
        <v>21</v>
      </c>
    </row>
    <row r="29" spans="4:17" x14ac:dyDescent="0.25">
      <c r="D29" s="287" t="s">
        <v>205</v>
      </c>
      <c r="E29" s="265">
        <v>18</v>
      </c>
      <c r="F29" s="265" t="s">
        <v>21</v>
      </c>
      <c r="G29" s="265" t="s">
        <v>21</v>
      </c>
      <c r="H29" s="265">
        <v>3</v>
      </c>
      <c r="I29" s="265">
        <v>9</v>
      </c>
      <c r="J29" s="265">
        <v>4</v>
      </c>
      <c r="K29" s="265" t="s">
        <v>21</v>
      </c>
      <c r="L29" s="265" t="s">
        <v>21</v>
      </c>
      <c r="M29" s="265" t="s">
        <v>21</v>
      </c>
      <c r="N29" s="265">
        <v>2</v>
      </c>
      <c r="O29" s="265" t="s">
        <v>21</v>
      </c>
      <c r="P29" s="265" t="s">
        <v>21</v>
      </c>
      <c r="Q29" s="265" t="s">
        <v>21</v>
      </c>
    </row>
    <row r="30" spans="4:17" ht="16.5" customHeight="1" x14ac:dyDescent="0.25">
      <c r="D30" s="288" t="s">
        <v>214</v>
      </c>
      <c r="E30" s="289">
        <v>1.6923076923076923</v>
      </c>
      <c r="F30" s="290" t="s">
        <v>21</v>
      </c>
      <c r="G30" s="290" t="s">
        <v>21</v>
      </c>
      <c r="H30" s="290">
        <v>1.5106382978723405</v>
      </c>
      <c r="I30" s="290">
        <v>1.96</v>
      </c>
      <c r="J30" s="290">
        <v>2.25</v>
      </c>
      <c r="K30" s="290">
        <v>1</v>
      </c>
      <c r="L30" s="290">
        <v>1.3333333333333333</v>
      </c>
      <c r="M30" s="290">
        <v>1</v>
      </c>
      <c r="N30" s="290">
        <v>3</v>
      </c>
      <c r="O30" s="290" t="s">
        <v>21</v>
      </c>
      <c r="P30" s="290" t="s">
        <v>21</v>
      </c>
      <c r="Q30" s="290" t="s">
        <v>21</v>
      </c>
    </row>
    <row r="31" spans="4:17" ht="18" customHeight="1" x14ac:dyDescent="0.25">
      <c r="D31" s="286" t="s">
        <v>220</v>
      </c>
      <c r="E31" s="265">
        <v>14</v>
      </c>
      <c r="F31" s="265" t="s">
        <v>21</v>
      </c>
      <c r="G31" s="265" t="s">
        <v>21</v>
      </c>
      <c r="H31" s="265">
        <v>1</v>
      </c>
      <c r="I31" s="265">
        <v>4</v>
      </c>
      <c r="J31" s="265">
        <v>5</v>
      </c>
      <c r="K31" s="265">
        <v>2</v>
      </c>
      <c r="L31" s="265" t="s">
        <v>21</v>
      </c>
      <c r="M31" s="265">
        <v>2</v>
      </c>
      <c r="N31" s="265" t="s">
        <v>21</v>
      </c>
      <c r="O31" s="265" t="s">
        <v>21</v>
      </c>
      <c r="P31" s="265" t="s">
        <v>21</v>
      </c>
      <c r="Q31" s="265" t="s">
        <v>21</v>
      </c>
    </row>
    <row r="32" spans="4:17" x14ac:dyDescent="0.25">
      <c r="D32" s="287" t="s">
        <v>203</v>
      </c>
      <c r="E32" s="265">
        <v>7</v>
      </c>
      <c r="F32" s="265" t="s">
        <v>21</v>
      </c>
      <c r="G32" s="265" t="s">
        <v>21</v>
      </c>
      <c r="H32" s="265">
        <v>1</v>
      </c>
      <c r="I32" s="265">
        <v>2</v>
      </c>
      <c r="J32" s="265">
        <v>3</v>
      </c>
      <c r="K32" s="265">
        <v>1</v>
      </c>
      <c r="L32" s="265" t="s">
        <v>21</v>
      </c>
      <c r="M32" s="265" t="s">
        <v>21</v>
      </c>
      <c r="N32" s="265" t="s">
        <v>21</v>
      </c>
      <c r="O32" s="265" t="s">
        <v>21</v>
      </c>
      <c r="P32" s="265" t="s">
        <v>21</v>
      </c>
      <c r="Q32" s="265" t="s">
        <v>21</v>
      </c>
    </row>
    <row r="33" spans="4:17" x14ac:dyDescent="0.25">
      <c r="D33" s="287" t="s">
        <v>204</v>
      </c>
      <c r="E33" s="265">
        <v>2</v>
      </c>
      <c r="F33" s="265" t="s">
        <v>21</v>
      </c>
      <c r="G33" s="265" t="s">
        <v>21</v>
      </c>
      <c r="H33" s="265" t="s">
        <v>21</v>
      </c>
      <c r="I33" s="265" t="s">
        <v>21</v>
      </c>
      <c r="J33" s="265">
        <v>1</v>
      </c>
      <c r="K33" s="265">
        <v>1</v>
      </c>
      <c r="L33" s="265" t="s">
        <v>21</v>
      </c>
      <c r="M33" s="265" t="s">
        <v>21</v>
      </c>
      <c r="N33" s="265" t="s">
        <v>21</v>
      </c>
      <c r="O33" s="265" t="s">
        <v>21</v>
      </c>
      <c r="P33" s="265" t="s">
        <v>21</v>
      </c>
      <c r="Q33" s="265" t="s">
        <v>21</v>
      </c>
    </row>
    <row r="34" spans="4:17" x14ac:dyDescent="0.25">
      <c r="D34" s="287" t="s">
        <v>205</v>
      </c>
      <c r="E34" s="265">
        <v>2</v>
      </c>
      <c r="F34" s="265" t="s">
        <v>21</v>
      </c>
      <c r="G34" s="265" t="s">
        <v>21</v>
      </c>
      <c r="H34" s="265" t="s">
        <v>21</v>
      </c>
      <c r="I34" s="265">
        <v>2</v>
      </c>
      <c r="J34" s="265" t="s">
        <v>21</v>
      </c>
      <c r="K34" s="265" t="s">
        <v>21</v>
      </c>
      <c r="L34" s="265" t="s">
        <v>21</v>
      </c>
      <c r="M34" s="265" t="s">
        <v>21</v>
      </c>
      <c r="N34" s="265" t="s">
        <v>21</v>
      </c>
      <c r="O34" s="265" t="s">
        <v>21</v>
      </c>
      <c r="P34" s="265" t="s">
        <v>21</v>
      </c>
      <c r="Q34" s="265" t="s">
        <v>21</v>
      </c>
    </row>
    <row r="35" spans="4:17" x14ac:dyDescent="0.25">
      <c r="D35" s="287" t="s">
        <v>206</v>
      </c>
      <c r="E35" s="265">
        <v>2</v>
      </c>
      <c r="F35" s="265" t="s">
        <v>21</v>
      </c>
      <c r="G35" s="265" t="s">
        <v>21</v>
      </c>
      <c r="H35" s="265" t="s">
        <v>21</v>
      </c>
      <c r="I35" s="265" t="s">
        <v>21</v>
      </c>
      <c r="J35" s="265">
        <v>1</v>
      </c>
      <c r="K35" s="265" t="s">
        <v>21</v>
      </c>
      <c r="L35" s="265" t="s">
        <v>21</v>
      </c>
      <c r="M35" s="265">
        <v>1</v>
      </c>
      <c r="N35" s="265" t="s">
        <v>21</v>
      </c>
      <c r="O35" s="265" t="s">
        <v>21</v>
      </c>
      <c r="P35" s="265" t="s">
        <v>21</v>
      </c>
      <c r="Q35" s="265" t="s">
        <v>21</v>
      </c>
    </row>
    <row r="36" spans="4:17" x14ac:dyDescent="0.25">
      <c r="D36" s="287" t="s">
        <v>207</v>
      </c>
      <c r="E36" s="265">
        <v>1</v>
      </c>
      <c r="F36" s="265" t="s">
        <v>21</v>
      </c>
      <c r="G36" s="265" t="s">
        <v>21</v>
      </c>
      <c r="H36" s="265" t="s">
        <v>21</v>
      </c>
      <c r="I36" s="265" t="s">
        <v>21</v>
      </c>
      <c r="J36" s="265" t="s">
        <v>21</v>
      </c>
      <c r="K36" s="265" t="s">
        <v>21</v>
      </c>
      <c r="L36" s="265" t="s">
        <v>21</v>
      </c>
      <c r="M36" s="265">
        <v>1</v>
      </c>
      <c r="N36" s="265" t="s">
        <v>21</v>
      </c>
      <c r="O36" s="265" t="s">
        <v>21</v>
      </c>
      <c r="P36" s="265" t="s">
        <v>21</v>
      </c>
      <c r="Q36" s="265" t="s">
        <v>21</v>
      </c>
    </row>
    <row r="37" spans="4:17" ht="27" customHeight="1" x14ac:dyDescent="0.25">
      <c r="D37" s="288" t="s">
        <v>217</v>
      </c>
      <c r="E37" s="289">
        <v>2.1428571428571428</v>
      </c>
      <c r="F37" s="290" t="s">
        <v>21</v>
      </c>
      <c r="G37" s="290" t="s">
        <v>21</v>
      </c>
      <c r="H37" s="290">
        <v>1</v>
      </c>
      <c r="I37" s="290">
        <v>2</v>
      </c>
      <c r="J37" s="290">
        <v>1.8</v>
      </c>
      <c r="K37" s="290">
        <v>1.5</v>
      </c>
      <c r="L37" s="290" t="s">
        <v>21</v>
      </c>
      <c r="M37" s="290">
        <v>4.5</v>
      </c>
      <c r="N37" s="290" t="s">
        <v>21</v>
      </c>
      <c r="O37" s="290" t="s">
        <v>21</v>
      </c>
      <c r="P37" s="290" t="s">
        <v>21</v>
      </c>
      <c r="Q37" s="290" t="s">
        <v>21</v>
      </c>
    </row>
    <row r="38" spans="4:17" x14ac:dyDescent="0.25">
      <c r="D38" s="286" t="s">
        <v>190</v>
      </c>
      <c r="E38" s="265">
        <v>7</v>
      </c>
      <c r="F38" s="265">
        <v>1</v>
      </c>
      <c r="G38" s="265">
        <v>3</v>
      </c>
      <c r="H38" s="265" t="s">
        <v>21</v>
      </c>
      <c r="I38" s="265">
        <v>2</v>
      </c>
      <c r="J38" s="265">
        <v>1</v>
      </c>
      <c r="K38" s="265" t="s">
        <v>21</v>
      </c>
      <c r="L38" s="265" t="s">
        <v>21</v>
      </c>
      <c r="M38" s="265" t="s">
        <v>21</v>
      </c>
      <c r="N38" s="265" t="s">
        <v>21</v>
      </c>
      <c r="O38" s="265" t="s">
        <v>21</v>
      </c>
      <c r="P38" s="265" t="s">
        <v>21</v>
      </c>
      <c r="Q38" s="265" t="s">
        <v>21</v>
      </c>
    </row>
    <row r="39" spans="4:17" ht="30.75" customHeight="1" x14ac:dyDescent="0.25">
      <c r="D39" s="291" t="s">
        <v>221</v>
      </c>
      <c r="E39" s="292">
        <v>3.2570576084461771</v>
      </c>
      <c r="F39" s="293">
        <v>1.443514644351465</v>
      </c>
      <c r="G39" s="293">
        <v>3.7606112054329466</v>
      </c>
      <c r="H39" s="293">
        <v>5.7826887661141813</v>
      </c>
      <c r="I39" s="293">
        <v>5.6874999999999956</v>
      </c>
      <c r="J39" s="293">
        <v>5.4583333333333313</v>
      </c>
      <c r="K39" s="293">
        <v>4.580000000000001</v>
      </c>
      <c r="L39" s="293" t="s">
        <v>21</v>
      </c>
      <c r="M39" s="293">
        <v>6.6000000000000005</v>
      </c>
      <c r="N39" s="293">
        <v>5.4444444444444446</v>
      </c>
      <c r="O39" s="293">
        <v>3.2</v>
      </c>
      <c r="P39" s="293">
        <v>2.5</v>
      </c>
      <c r="Q39" s="293">
        <v>1</v>
      </c>
    </row>
    <row r="40" spans="4:17" x14ac:dyDescent="0.25">
      <c r="D40" s="259" t="s">
        <v>161</v>
      </c>
      <c r="E40" s="259"/>
      <c r="F40" s="259"/>
      <c r="G40" s="259"/>
      <c r="H40" s="259"/>
      <c r="I40" s="259"/>
      <c r="J40" s="259"/>
      <c r="K40" s="47"/>
      <c r="L40" s="47"/>
      <c r="M40" s="47"/>
      <c r="N40" s="47"/>
      <c r="O40" s="47"/>
      <c r="P40" s="47"/>
      <c r="Q40" s="47"/>
    </row>
  </sheetData>
  <mergeCells count="16">
    <mergeCell ref="M5:M6"/>
    <mergeCell ref="N5:N6"/>
    <mergeCell ref="O5:O6"/>
    <mergeCell ref="P5:P6"/>
    <mergeCell ref="Q5:Q6"/>
    <mergeCell ref="D2:Q3"/>
    <mergeCell ref="D4:D6"/>
    <mergeCell ref="E4:E6"/>
    <mergeCell ref="F4:Q4"/>
    <mergeCell ref="F5:F6"/>
    <mergeCell ref="G5:G6"/>
    <mergeCell ref="H5:H6"/>
    <mergeCell ref="I5:I6"/>
    <mergeCell ref="J5:J6"/>
    <mergeCell ref="K5:K6"/>
    <mergeCell ref="L5:L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14"/>
  <sheetViews>
    <sheetView workbookViewId="0">
      <selection activeCell="K19" sqref="K19"/>
    </sheetView>
  </sheetViews>
  <sheetFormatPr defaultRowHeight="15" x14ac:dyDescent="0.25"/>
  <cols>
    <col min="5" max="5" width="18" customWidth="1"/>
    <col min="6" max="6" width="11.7109375" customWidth="1"/>
    <col min="7" max="7" width="10.7109375" customWidth="1"/>
    <col min="8" max="8" width="10.42578125" customWidth="1"/>
  </cols>
  <sheetData>
    <row r="1" spans="5:8" ht="6" customHeight="1" x14ac:dyDescent="0.25"/>
    <row r="2" spans="5:8" x14ac:dyDescent="0.25">
      <c r="E2" s="175" t="s">
        <v>91</v>
      </c>
      <c r="F2" s="175"/>
      <c r="G2" s="175"/>
      <c r="H2" s="175"/>
    </row>
    <row r="3" spans="5:8" ht="30.75" customHeight="1" x14ac:dyDescent="0.25">
      <c r="E3" s="175"/>
      <c r="F3" s="175"/>
      <c r="G3" s="175"/>
      <c r="H3" s="175"/>
    </row>
    <row r="4" spans="5:8" x14ac:dyDescent="0.25">
      <c r="E4" s="191" t="s">
        <v>82</v>
      </c>
      <c r="F4" s="193"/>
      <c r="G4" s="193"/>
      <c r="H4" s="193"/>
    </row>
    <row r="5" spans="5:8" x14ac:dyDescent="0.25">
      <c r="E5" s="192"/>
      <c r="F5" s="86" t="s">
        <v>27</v>
      </c>
      <c r="G5" s="86" t="s">
        <v>43</v>
      </c>
      <c r="H5" s="86" t="s">
        <v>45</v>
      </c>
    </row>
    <row r="6" spans="5:8" x14ac:dyDescent="0.25">
      <c r="E6" s="87" t="s">
        <v>17</v>
      </c>
      <c r="F6" s="88">
        <v>63861</v>
      </c>
      <c r="G6" s="88">
        <v>32166</v>
      </c>
      <c r="H6" s="88">
        <v>31695</v>
      </c>
    </row>
    <row r="7" spans="5:8" x14ac:dyDescent="0.25">
      <c r="E7" s="89" t="s">
        <v>83</v>
      </c>
      <c r="F7" s="88">
        <v>42701</v>
      </c>
      <c r="G7" s="88">
        <v>21359</v>
      </c>
      <c r="H7" s="88">
        <v>21342</v>
      </c>
    </row>
    <row r="8" spans="5:8" x14ac:dyDescent="0.25">
      <c r="E8" s="89" t="s">
        <v>84</v>
      </c>
      <c r="F8" s="88">
        <v>6298</v>
      </c>
      <c r="G8" s="88">
        <v>3158</v>
      </c>
      <c r="H8" s="88">
        <v>3140</v>
      </c>
    </row>
    <row r="9" spans="5:8" x14ac:dyDescent="0.25">
      <c r="E9" s="89" t="s">
        <v>85</v>
      </c>
      <c r="F9" s="88">
        <v>5775</v>
      </c>
      <c r="G9" s="88">
        <v>3021</v>
      </c>
      <c r="H9" s="88">
        <v>2754</v>
      </c>
    </row>
    <row r="10" spans="5:8" x14ac:dyDescent="0.25">
      <c r="E10" s="89" t="s">
        <v>86</v>
      </c>
      <c r="F10" s="88">
        <v>4734</v>
      </c>
      <c r="G10" s="88">
        <v>2446</v>
      </c>
      <c r="H10" s="88">
        <v>2288</v>
      </c>
    </row>
    <row r="11" spans="5:8" x14ac:dyDescent="0.25">
      <c r="E11" s="89" t="s">
        <v>87</v>
      </c>
      <c r="F11" s="88">
        <v>2086</v>
      </c>
      <c r="G11" s="88">
        <v>1087</v>
      </c>
      <c r="H11" s="88">
        <v>999</v>
      </c>
    </row>
    <row r="12" spans="5:8" x14ac:dyDescent="0.25">
      <c r="E12" s="89" t="s">
        <v>88</v>
      </c>
      <c r="F12" s="88">
        <v>1591</v>
      </c>
      <c r="G12" s="88">
        <v>738</v>
      </c>
      <c r="H12" s="88">
        <v>853</v>
      </c>
    </row>
    <row r="13" spans="5:8" x14ac:dyDescent="0.25">
      <c r="E13" s="90" t="s">
        <v>89</v>
      </c>
      <c r="F13" s="91">
        <v>676</v>
      </c>
      <c r="G13" s="91">
        <v>357</v>
      </c>
      <c r="H13" s="91">
        <v>319</v>
      </c>
    </row>
    <row r="14" spans="5:8" x14ac:dyDescent="0.25">
      <c r="E14" s="92" t="s">
        <v>90</v>
      </c>
      <c r="F14" s="93"/>
      <c r="G14" s="93"/>
      <c r="H14" s="93"/>
    </row>
  </sheetData>
  <mergeCells count="3">
    <mergeCell ref="E4:E5"/>
    <mergeCell ref="F4:H4"/>
    <mergeCell ref="E2:H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14"/>
  <sheetViews>
    <sheetView workbookViewId="0">
      <selection activeCell="K17" sqref="K17"/>
    </sheetView>
  </sheetViews>
  <sheetFormatPr defaultRowHeight="15" x14ac:dyDescent="0.25"/>
  <cols>
    <col min="4" max="4" width="17" customWidth="1"/>
  </cols>
  <sheetData>
    <row r="2" spans="4:8" ht="23.25" customHeight="1" x14ac:dyDescent="0.25">
      <c r="D2" s="196" t="s">
        <v>92</v>
      </c>
      <c r="E2" s="196"/>
      <c r="F2" s="196"/>
      <c r="G2" s="196"/>
      <c r="H2" s="196"/>
    </row>
    <row r="3" spans="4:8" ht="27" customHeight="1" x14ac:dyDescent="0.25">
      <c r="D3" s="161"/>
      <c r="E3" s="161"/>
      <c r="F3" s="161"/>
      <c r="G3" s="161"/>
      <c r="H3" s="161"/>
    </row>
    <row r="4" spans="4:8" x14ac:dyDescent="0.25">
      <c r="D4" s="194" t="s">
        <v>82</v>
      </c>
      <c r="E4" s="191"/>
      <c r="F4" s="191"/>
      <c r="G4" s="191"/>
      <c r="H4" s="194" t="s">
        <v>59</v>
      </c>
    </row>
    <row r="5" spans="4:8" x14ac:dyDescent="0.25">
      <c r="D5" s="195"/>
      <c r="E5" s="94" t="s">
        <v>27</v>
      </c>
      <c r="F5" s="94" t="s">
        <v>43</v>
      </c>
      <c r="G5" s="94" t="s">
        <v>45</v>
      </c>
      <c r="H5" s="195"/>
    </row>
    <row r="6" spans="4:8" x14ac:dyDescent="0.25">
      <c r="D6" s="95" t="s">
        <v>17</v>
      </c>
      <c r="E6" s="96">
        <v>63861</v>
      </c>
      <c r="F6" s="96">
        <v>32166</v>
      </c>
      <c r="G6" s="96">
        <v>31695</v>
      </c>
      <c r="H6" s="97">
        <f>F6/G6*100</f>
        <v>101.48603880738287</v>
      </c>
    </row>
    <row r="7" spans="4:8" x14ac:dyDescent="0.25">
      <c r="D7" s="89" t="s">
        <v>83</v>
      </c>
      <c r="E7" s="88">
        <v>42701</v>
      </c>
      <c r="F7" s="88">
        <v>21359</v>
      </c>
      <c r="G7" s="88">
        <v>21342</v>
      </c>
      <c r="H7" s="97">
        <f t="shared" ref="H7:H13" si="0">F7/G7*100</f>
        <v>100.07965514009933</v>
      </c>
    </row>
    <row r="8" spans="4:8" x14ac:dyDescent="0.25">
      <c r="D8" s="89" t="s">
        <v>84</v>
      </c>
      <c r="E8" s="88">
        <v>6298</v>
      </c>
      <c r="F8" s="88">
        <v>3158</v>
      </c>
      <c r="G8" s="88">
        <v>3140</v>
      </c>
      <c r="H8" s="97">
        <f t="shared" si="0"/>
        <v>100.57324840764332</v>
      </c>
    </row>
    <row r="9" spans="4:8" x14ac:dyDescent="0.25">
      <c r="D9" s="89" t="s">
        <v>85</v>
      </c>
      <c r="E9" s="88">
        <v>5775</v>
      </c>
      <c r="F9" s="88">
        <v>3021</v>
      </c>
      <c r="G9" s="88">
        <v>2754</v>
      </c>
      <c r="H9" s="97">
        <f t="shared" si="0"/>
        <v>109.69498910675381</v>
      </c>
    </row>
    <row r="10" spans="4:8" x14ac:dyDescent="0.25">
      <c r="D10" s="89" t="s">
        <v>86</v>
      </c>
      <c r="E10" s="88">
        <v>4734</v>
      </c>
      <c r="F10" s="88">
        <v>2446</v>
      </c>
      <c r="G10" s="88">
        <v>2288</v>
      </c>
      <c r="H10" s="97">
        <f t="shared" si="0"/>
        <v>106.9055944055944</v>
      </c>
    </row>
    <row r="11" spans="4:8" x14ac:dyDescent="0.25">
      <c r="D11" s="89" t="s">
        <v>87</v>
      </c>
      <c r="E11" s="88">
        <v>2086</v>
      </c>
      <c r="F11" s="88">
        <v>1087</v>
      </c>
      <c r="G11" s="88">
        <v>999</v>
      </c>
      <c r="H11" s="97">
        <f t="shared" si="0"/>
        <v>108.80880880880881</v>
      </c>
    </row>
    <row r="12" spans="4:8" x14ac:dyDescent="0.25">
      <c r="D12" s="89" t="s">
        <v>88</v>
      </c>
      <c r="E12" s="88">
        <v>1591</v>
      </c>
      <c r="F12" s="88">
        <v>738</v>
      </c>
      <c r="G12" s="88">
        <v>853</v>
      </c>
      <c r="H12" s="97">
        <f t="shared" si="0"/>
        <v>86.518171160609612</v>
      </c>
    </row>
    <row r="13" spans="4:8" x14ac:dyDescent="0.25">
      <c r="D13" s="90" t="s">
        <v>89</v>
      </c>
      <c r="E13" s="91">
        <v>676</v>
      </c>
      <c r="F13" s="91">
        <v>357</v>
      </c>
      <c r="G13" s="91">
        <v>319</v>
      </c>
      <c r="H13" s="98">
        <f t="shared" si="0"/>
        <v>111.91222570532915</v>
      </c>
    </row>
    <row r="14" spans="4:8" x14ac:dyDescent="0.25">
      <c r="D14" s="92" t="s">
        <v>90</v>
      </c>
      <c r="E14" s="93"/>
      <c r="F14" s="93"/>
      <c r="G14" s="93"/>
      <c r="H14" s="47"/>
    </row>
  </sheetData>
  <mergeCells count="4">
    <mergeCell ref="D4:D5"/>
    <mergeCell ref="E4:G4"/>
    <mergeCell ref="H4:H5"/>
    <mergeCell ref="D2:H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15"/>
  <sheetViews>
    <sheetView workbookViewId="0">
      <selection activeCell="K8" sqref="K8"/>
    </sheetView>
  </sheetViews>
  <sheetFormatPr defaultRowHeight="15" x14ac:dyDescent="0.25"/>
  <cols>
    <col min="4" max="4" width="16.85546875" customWidth="1"/>
    <col min="8" max="8" width="12.28515625" customWidth="1"/>
  </cols>
  <sheetData>
    <row r="2" spans="4:8" x14ac:dyDescent="0.25">
      <c r="D2" s="160" t="s">
        <v>93</v>
      </c>
      <c r="E2" s="160"/>
      <c r="F2" s="160"/>
      <c r="G2" s="160"/>
      <c r="H2" s="160"/>
    </row>
    <row r="3" spans="4:8" ht="22.5" customHeight="1" x14ac:dyDescent="0.25">
      <c r="D3" s="161"/>
      <c r="E3" s="161"/>
      <c r="F3" s="161"/>
      <c r="G3" s="161"/>
      <c r="H3" s="161"/>
    </row>
    <row r="4" spans="4:8" x14ac:dyDescent="0.25">
      <c r="D4" s="197" t="s">
        <v>94</v>
      </c>
      <c r="E4" s="197"/>
      <c r="F4" s="197"/>
      <c r="G4" s="197"/>
      <c r="H4" s="197"/>
    </row>
    <row r="5" spans="4:8" x14ac:dyDescent="0.25">
      <c r="D5" s="198"/>
      <c r="E5" s="198" t="s">
        <v>27</v>
      </c>
      <c r="F5" s="198" t="s">
        <v>95</v>
      </c>
      <c r="G5" s="200" t="s">
        <v>96</v>
      </c>
      <c r="H5" s="198" t="s">
        <v>97</v>
      </c>
    </row>
    <row r="6" spans="4:8" x14ac:dyDescent="0.25">
      <c r="D6" s="199"/>
      <c r="E6" s="199"/>
      <c r="F6" s="199"/>
      <c r="G6" s="201"/>
      <c r="H6" s="199"/>
    </row>
    <row r="7" spans="4:8" x14ac:dyDescent="0.25">
      <c r="D7" s="99" t="s">
        <v>17</v>
      </c>
      <c r="E7" s="100">
        <v>63861</v>
      </c>
      <c r="F7" s="34">
        <v>42234</v>
      </c>
      <c r="G7" s="3">
        <f>8408+5660</f>
        <v>14068</v>
      </c>
      <c r="H7" s="34">
        <f>SUM(H8:H14)</f>
        <v>7559</v>
      </c>
    </row>
    <row r="8" spans="4:8" x14ac:dyDescent="0.25">
      <c r="D8" s="3" t="s">
        <v>89</v>
      </c>
      <c r="E8" s="100">
        <v>676</v>
      </c>
      <c r="F8" s="34">
        <v>147</v>
      </c>
      <c r="G8" s="3">
        <f>19+212</f>
        <v>231</v>
      </c>
      <c r="H8" s="34">
        <v>298</v>
      </c>
    </row>
    <row r="9" spans="4:8" x14ac:dyDescent="0.25">
      <c r="D9" s="3" t="s">
        <v>88</v>
      </c>
      <c r="E9" s="100">
        <v>1591</v>
      </c>
      <c r="F9" s="34">
        <v>427</v>
      </c>
      <c r="G9" s="3">
        <f>341+660</f>
        <v>1001</v>
      </c>
      <c r="H9" s="34">
        <v>163</v>
      </c>
    </row>
    <row r="10" spans="4:8" x14ac:dyDescent="0.25">
      <c r="D10" s="3" t="s">
        <v>84</v>
      </c>
      <c r="E10" s="100">
        <v>6298</v>
      </c>
      <c r="F10" s="34">
        <v>1249</v>
      </c>
      <c r="G10" s="3">
        <f>500+1753</f>
        <v>2253</v>
      </c>
      <c r="H10" s="34">
        <v>2796</v>
      </c>
    </row>
    <row r="11" spans="4:8" x14ac:dyDescent="0.25">
      <c r="D11" s="3" t="s">
        <v>85</v>
      </c>
      <c r="E11" s="100">
        <v>5775</v>
      </c>
      <c r="F11" s="34">
        <v>1294</v>
      </c>
      <c r="G11" s="3">
        <f>2522+733</f>
        <v>3255</v>
      </c>
      <c r="H11" s="34">
        <v>1226</v>
      </c>
    </row>
    <row r="12" spans="4:8" x14ac:dyDescent="0.25">
      <c r="D12" s="3" t="s">
        <v>87</v>
      </c>
      <c r="E12" s="100">
        <v>2086</v>
      </c>
      <c r="F12" s="34">
        <v>483</v>
      </c>
      <c r="G12" s="3">
        <f>125+485</f>
        <v>610</v>
      </c>
      <c r="H12" s="34">
        <v>993</v>
      </c>
    </row>
    <row r="13" spans="4:8" x14ac:dyDescent="0.25">
      <c r="D13" s="3" t="s">
        <v>86</v>
      </c>
      <c r="E13" s="100">
        <v>4734</v>
      </c>
      <c r="F13" s="34">
        <v>984</v>
      </c>
      <c r="G13" s="3">
        <f>132+1612</f>
        <v>1744</v>
      </c>
      <c r="H13" s="34">
        <v>2006</v>
      </c>
    </row>
    <row r="14" spans="4:8" x14ac:dyDescent="0.25">
      <c r="D14" s="5" t="s">
        <v>83</v>
      </c>
      <c r="E14" s="101">
        <v>42701</v>
      </c>
      <c r="F14" s="35">
        <v>37650</v>
      </c>
      <c r="G14" s="5">
        <f>4769+205</f>
        <v>4974</v>
      </c>
      <c r="H14" s="35">
        <v>77</v>
      </c>
    </row>
    <row r="15" spans="4:8" x14ac:dyDescent="0.25">
      <c r="D15" s="102" t="s">
        <v>98</v>
      </c>
      <c r="E15" s="47"/>
      <c r="F15" s="47"/>
      <c r="G15" s="47"/>
      <c r="H15" s="47"/>
    </row>
  </sheetData>
  <mergeCells count="7">
    <mergeCell ref="D2:H3"/>
    <mergeCell ref="D4:D6"/>
    <mergeCell ref="E4:H4"/>
    <mergeCell ref="E5:E6"/>
    <mergeCell ref="F5:F6"/>
    <mergeCell ref="G5:G6"/>
    <mergeCell ref="H5:H6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8"/>
  <sheetViews>
    <sheetView workbookViewId="0">
      <selection activeCell="K10" sqref="K10"/>
    </sheetView>
  </sheetViews>
  <sheetFormatPr defaultRowHeight="15" x14ac:dyDescent="0.25"/>
  <sheetData>
    <row r="1" spans="3:9" x14ac:dyDescent="0.25">
      <c r="C1" s="175" t="s">
        <v>99</v>
      </c>
      <c r="D1" s="175"/>
      <c r="E1" s="175"/>
      <c r="F1" s="175"/>
      <c r="G1" s="175"/>
      <c r="H1" s="175"/>
      <c r="I1" s="175"/>
    </row>
    <row r="2" spans="3:9" x14ac:dyDescent="0.25">
      <c r="C2" s="175"/>
      <c r="D2" s="175"/>
      <c r="E2" s="175"/>
      <c r="F2" s="175"/>
      <c r="G2" s="175"/>
      <c r="H2" s="175"/>
      <c r="I2" s="175"/>
    </row>
    <row r="3" spans="3:9" x14ac:dyDescent="0.25">
      <c r="C3" s="103" t="s">
        <v>42</v>
      </c>
      <c r="D3" s="104" t="s">
        <v>43</v>
      </c>
      <c r="E3" s="105" t="s">
        <v>44</v>
      </c>
      <c r="F3" s="104" t="s">
        <v>45</v>
      </c>
      <c r="G3" s="105" t="s">
        <v>44</v>
      </c>
      <c r="H3" s="104" t="s">
        <v>27</v>
      </c>
      <c r="I3" s="104" t="s">
        <v>44</v>
      </c>
    </row>
    <row r="4" spans="3:9" x14ac:dyDescent="0.25">
      <c r="C4" s="3" t="s">
        <v>46</v>
      </c>
      <c r="D4" s="34">
        <v>14134</v>
      </c>
      <c r="E4" s="41">
        <f>D4/D7</f>
        <v>0.43940807063358828</v>
      </c>
      <c r="F4" s="34">
        <v>13715</v>
      </c>
      <c r="G4" s="41">
        <f>F4/F7</f>
        <v>0.43271809433664615</v>
      </c>
      <c r="H4" s="34">
        <v>27849</v>
      </c>
      <c r="I4" s="41">
        <v>0.43608775308873959</v>
      </c>
    </row>
    <row r="5" spans="3:9" x14ac:dyDescent="0.25">
      <c r="C5" s="3" t="s">
        <v>47</v>
      </c>
      <c r="D5" s="34">
        <v>14201</v>
      </c>
      <c r="E5" s="41">
        <f>D5/D7</f>
        <v>0.44149101535783125</v>
      </c>
      <c r="F5" s="34">
        <v>13801</v>
      </c>
      <c r="G5" s="41">
        <f>F5/F7</f>
        <v>0.4354314560656255</v>
      </c>
      <c r="H5" s="34">
        <v>28002</v>
      </c>
      <c r="I5" s="41">
        <v>0.43848358152863248</v>
      </c>
    </row>
    <row r="6" spans="3:9" x14ac:dyDescent="0.25">
      <c r="C6" s="5" t="s">
        <v>48</v>
      </c>
      <c r="D6" s="35">
        <v>3831</v>
      </c>
      <c r="E6" s="43">
        <f>D6/D7</f>
        <v>0.11910091400858049</v>
      </c>
      <c r="F6" s="35">
        <v>4179</v>
      </c>
      <c r="G6" s="43">
        <f>F6/F7</f>
        <v>0.13185044959772835</v>
      </c>
      <c r="H6" s="35">
        <v>8010</v>
      </c>
      <c r="I6" s="43">
        <v>0.1254286653826279</v>
      </c>
    </row>
    <row r="7" spans="3:9" x14ac:dyDescent="0.25">
      <c r="C7" s="32" t="s">
        <v>27</v>
      </c>
      <c r="D7" s="29">
        <v>32166</v>
      </c>
      <c r="E7" s="45">
        <f>SUM(E4:E6)</f>
        <v>1</v>
      </c>
      <c r="F7" s="29">
        <v>31695</v>
      </c>
      <c r="G7" s="45">
        <f>SUM(G4:G6)</f>
        <v>1</v>
      </c>
      <c r="H7" s="29">
        <v>63861</v>
      </c>
      <c r="I7" s="45">
        <v>0.99999999999999989</v>
      </c>
    </row>
    <row r="8" spans="3:9" x14ac:dyDescent="0.25">
      <c r="C8" s="14" t="s">
        <v>90</v>
      </c>
      <c r="D8" s="47"/>
      <c r="E8" s="47"/>
      <c r="F8" s="47"/>
      <c r="G8" s="47"/>
      <c r="H8" s="47"/>
      <c r="I8" s="47"/>
    </row>
  </sheetData>
  <mergeCells count="1">
    <mergeCell ref="C1:I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1"/>
  <sheetViews>
    <sheetView workbookViewId="0">
      <selection activeCell="M21" sqref="M21"/>
    </sheetView>
  </sheetViews>
  <sheetFormatPr defaultRowHeight="15" x14ac:dyDescent="0.25"/>
  <sheetData>
    <row r="2" spans="3:11" x14ac:dyDescent="0.25">
      <c r="C2" s="202" t="s">
        <v>100</v>
      </c>
      <c r="D2" s="202"/>
      <c r="E2" s="202"/>
      <c r="F2" s="202"/>
      <c r="G2" s="202"/>
      <c r="H2" s="202"/>
      <c r="I2" s="202"/>
      <c r="J2" s="202"/>
      <c r="K2" s="202"/>
    </row>
    <row r="3" spans="3:11" x14ac:dyDescent="0.25">
      <c r="C3" s="203"/>
      <c r="D3" s="203"/>
      <c r="E3" s="203"/>
      <c r="F3" s="203"/>
      <c r="G3" s="203"/>
      <c r="H3" s="203"/>
      <c r="I3" s="203"/>
      <c r="J3" s="203"/>
      <c r="K3" s="203"/>
    </row>
    <row r="4" spans="3:11" x14ac:dyDescent="0.25">
      <c r="C4" s="204" t="s">
        <v>42</v>
      </c>
      <c r="D4" s="205" t="s">
        <v>101</v>
      </c>
      <c r="E4" s="205"/>
      <c r="F4" s="205"/>
      <c r="G4" s="205"/>
      <c r="H4" s="205"/>
      <c r="I4" s="205"/>
      <c r="J4" s="205"/>
      <c r="K4" s="205"/>
    </row>
    <row r="5" spans="3:11" x14ac:dyDescent="0.25">
      <c r="C5" s="204"/>
      <c r="D5" s="206" t="s">
        <v>32</v>
      </c>
      <c r="E5" s="206"/>
      <c r="F5" s="206"/>
      <c r="G5" s="206"/>
      <c r="H5" s="206" t="s">
        <v>33</v>
      </c>
      <c r="I5" s="206"/>
      <c r="J5" s="206"/>
      <c r="K5" s="206"/>
    </row>
    <row r="6" spans="3:11" x14ac:dyDescent="0.25">
      <c r="C6" s="204"/>
      <c r="D6" s="47" t="s">
        <v>27</v>
      </c>
      <c r="E6" s="47" t="s">
        <v>44</v>
      </c>
      <c r="F6" s="47" t="s">
        <v>43</v>
      </c>
      <c r="G6" s="47" t="s">
        <v>45</v>
      </c>
      <c r="H6" s="47" t="s">
        <v>27</v>
      </c>
      <c r="I6" s="47" t="s">
        <v>44</v>
      </c>
      <c r="J6" s="47" t="s">
        <v>43</v>
      </c>
      <c r="K6" s="47" t="s">
        <v>45</v>
      </c>
    </row>
    <row r="7" spans="3:11" x14ac:dyDescent="0.25">
      <c r="C7" s="47" t="s">
        <v>46</v>
      </c>
      <c r="D7" s="106">
        <v>3452</v>
      </c>
      <c r="E7" s="48">
        <v>0.23601805004785997</v>
      </c>
      <c r="F7" s="106">
        <v>1792</v>
      </c>
      <c r="G7" s="106">
        <v>1660</v>
      </c>
      <c r="H7" s="106">
        <v>24397</v>
      </c>
      <c r="I7" s="48">
        <v>0.49552147862293083</v>
      </c>
      <c r="J7" s="106">
        <v>12342</v>
      </c>
      <c r="K7" s="106">
        <v>12055</v>
      </c>
    </row>
    <row r="8" spans="3:11" x14ac:dyDescent="0.25">
      <c r="C8" s="3" t="s">
        <v>47</v>
      </c>
      <c r="D8" s="34">
        <v>7567</v>
      </c>
      <c r="E8" s="41">
        <v>0.51736633392588538</v>
      </c>
      <c r="F8" s="34">
        <v>3841</v>
      </c>
      <c r="G8" s="34">
        <v>3726</v>
      </c>
      <c r="H8" s="34">
        <v>20435</v>
      </c>
      <c r="I8" s="41">
        <v>0.41505026911749771</v>
      </c>
      <c r="J8" s="34">
        <v>10360</v>
      </c>
      <c r="K8" s="34">
        <v>10075</v>
      </c>
    </row>
    <row r="9" spans="3:11" x14ac:dyDescent="0.25">
      <c r="C9" s="5" t="s">
        <v>48</v>
      </c>
      <c r="D9" s="35">
        <v>3607</v>
      </c>
      <c r="E9" s="43">
        <v>0.24661561602625462</v>
      </c>
      <c r="F9" s="35">
        <v>1635</v>
      </c>
      <c r="G9" s="35">
        <v>1972</v>
      </c>
      <c r="H9" s="35">
        <v>4403</v>
      </c>
      <c r="I9" s="43">
        <v>8.9428252259571447E-2</v>
      </c>
      <c r="J9" s="35">
        <v>2196</v>
      </c>
      <c r="K9" s="35">
        <v>2207</v>
      </c>
    </row>
    <row r="10" spans="3:11" x14ac:dyDescent="0.25">
      <c r="C10" s="32" t="s">
        <v>27</v>
      </c>
      <c r="D10" s="29">
        <v>14626</v>
      </c>
      <c r="E10" s="45">
        <v>0.99999999999999989</v>
      </c>
      <c r="F10" s="29">
        <v>7268</v>
      </c>
      <c r="G10" s="29">
        <v>7358</v>
      </c>
      <c r="H10" s="29">
        <v>49235</v>
      </c>
      <c r="I10" s="45">
        <v>0.99999999999999989</v>
      </c>
      <c r="J10" s="29">
        <v>24898</v>
      </c>
      <c r="K10" s="29">
        <v>24337</v>
      </c>
    </row>
    <row r="11" spans="3:11" x14ac:dyDescent="0.25">
      <c r="C11" s="14" t="s">
        <v>90</v>
      </c>
      <c r="D11" s="47"/>
      <c r="E11" s="47"/>
      <c r="F11" s="47"/>
      <c r="G11" s="47"/>
      <c r="H11" s="47"/>
      <c r="I11" s="47"/>
      <c r="J11" s="47"/>
      <c r="K11" s="47"/>
    </row>
  </sheetData>
  <mergeCells count="5">
    <mergeCell ref="C2:K3"/>
    <mergeCell ref="C4:C6"/>
    <mergeCell ref="D4:K4"/>
    <mergeCell ref="D5:G5"/>
    <mergeCell ref="H5:K5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9"/>
  <sheetViews>
    <sheetView topLeftCell="A2" workbookViewId="0">
      <selection activeCell="T14" sqref="T14"/>
    </sheetView>
  </sheetViews>
  <sheetFormatPr defaultRowHeight="15" x14ac:dyDescent="0.25"/>
  <cols>
    <col min="2" max="2" width="17.140625" customWidth="1"/>
    <col min="3" max="3" width="10.28515625" customWidth="1"/>
    <col min="4" max="4" width="8.7109375" customWidth="1"/>
    <col min="5" max="5" width="9.42578125" customWidth="1"/>
    <col min="6" max="6" width="8.42578125" customWidth="1"/>
    <col min="258" max="258" width="17.140625" customWidth="1"/>
    <col min="259" max="259" width="10.28515625" customWidth="1"/>
    <col min="260" max="260" width="8.7109375" customWidth="1"/>
    <col min="261" max="261" width="9.42578125" customWidth="1"/>
    <col min="262" max="262" width="8.42578125" customWidth="1"/>
    <col min="514" max="514" width="17.140625" customWidth="1"/>
    <col min="515" max="515" width="10.28515625" customWidth="1"/>
    <col min="516" max="516" width="8.7109375" customWidth="1"/>
    <col min="517" max="517" width="9.42578125" customWidth="1"/>
    <col min="518" max="518" width="8.42578125" customWidth="1"/>
    <col min="770" max="770" width="17.140625" customWidth="1"/>
    <col min="771" max="771" width="10.28515625" customWidth="1"/>
    <col min="772" max="772" width="8.7109375" customWidth="1"/>
    <col min="773" max="773" width="9.42578125" customWidth="1"/>
    <col min="774" max="774" width="8.42578125" customWidth="1"/>
    <col min="1026" max="1026" width="17.140625" customWidth="1"/>
    <col min="1027" max="1027" width="10.28515625" customWidth="1"/>
    <col min="1028" max="1028" width="8.7109375" customWidth="1"/>
    <col min="1029" max="1029" width="9.42578125" customWidth="1"/>
    <col min="1030" max="1030" width="8.42578125" customWidth="1"/>
    <col min="1282" max="1282" width="17.140625" customWidth="1"/>
    <col min="1283" max="1283" width="10.28515625" customWidth="1"/>
    <col min="1284" max="1284" width="8.7109375" customWidth="1"/>
    <col min="1285" max="1285" width="9.42578125" customWidth="1"/>
    <col min="1286" max="1286" width="8.42578125" customWidth="1"/>
    <col min="1538" max="1538" width="17.140625" customWidth="1"/>
    <col min="1539" max="1539" width="10.28515625" customWidth="1"/>
    <col min="1540" max="1540" width="8.7109375" customWidth="1"/>
    <col min="1541" max="1541" width="9.42578125" customWidth="1"/>
    <col min="1542" max="1542" width="8.42578125" customWidth="1"/>
    <col min="1794" max="1794" width="17.140625" customWidth="1"/>
    <col min="1795" max="1795" width="10.28515625" customWidth="1"/>
    <col min="1796" max="1796" width="8.7109375" customWidth="1"/>
    <col min="1797" max="1797" width="9.42578125" customWidth="1"/>
    <col min="1798" max="1798" width="8.42578125" customWidth="1"/>
    <col min="2050" max="2050" width="17.140625" customWidth="1"/>
    <col min="2051" max="2051" width="10.28515625" customWidth="1"/>
    <col min="2052" max="2052" width="8.7109375" customWidth="1"/>
    <col min="2053" max="2053" width="9.42578125" customWidth="1"/>
    <col min="2054" max="2054" width="8.42578125" customWidth="1"/>
    <col min="2306" max="2306" width="17.140625" customWidth="1"/>
    <col min="2307" max="2307" width="10.28515625" customWidth="1"/>
    <col min="2308" max="2308" width="8.7109375" customWidth="1"/>
    <col min="2309" max="2309" width="9.42578125" customWidth="1"/>
    <col min="2310" max="2310" width="8.42578125" customWidth="1"/>
    <col min="2562" max="2562" width="17.140625" customWidth="1"/>
    <col min="2563" max="2563" width="10.28515625" customWidth="1"/>
    <col min="2564" max="2564" width="8.7109375" customWidth="1"/>
    <col min="2565" max="2565" width="9.42578125" customWidth="1"/>
    <col min="2566" max="2566" width="8.42578125" customWidth="1"/>
    <col min="2818" max="2818" width="17.140625" customWidth="1"/>
    <col min="2819" max="2819" width="10.28515625" customWidth="1"/>
    <col min="2820" max="2820" width="8.7109375" customWidth="1"/>
    <col min="2821" max="2821" width="9.42578125" customWidth="1"/>
    <col min="2822" max="2822" width="8.42578125" customWidth="1"/>
    <col min="3074" max="3074" width="17.140625" customWidth="1"/>
    <col min="3075" max="3075" width="10.28515625" customWidth="1"/>
    <col min="3076" max="3076" width="8.7109375" customWidth="1"/>
    <col min="3077" max="3077" width="9.42578125" customWidth="1"/>
    <col min="3078" max="3078" width="8.42578125" customWidth="1"/>
    <col min="3330" max="3330" width="17.140625" customWidth="1"/>
    <col min="3331" max="3331" width="10.28515625" customWidth="1"/>
    <col min="3332" max="3332" width="8.7109375" customWidth="1"/>
    <col min="3333" max="3333" width="9.42578125" customWidth="1"/>
    <col min="3334" max="3334" width="8.42578125" customWidth="1"/>
    <col min="3586" max="3586" width="17.140625" customWidth="1"/>
    <col min="3587" max="3587" width="10.28515625" customWidth="1"/>
    <col min="3588" max="3588" width="8.7109375" customWidth="1"/>
    <col min="3589" max="3589" width="9.42578125" customWidth="1"/>
    <col min="3590" max="3590" width="8.42578125" customWidth="1"/>
    <col min="3842" max="3842" width="17.140625" customWidth="1"/>
    <col min="3843" max="3843" width="10.28515625" customWidth="1"/>
    <col min="3844" max="3844" width="8.7109375" customWidth="1"/>
    <col min="3845" max="3845" width="9.42578125" customWidth="1"/>
    <col min="3846" max="3846" width="8.42578125" customWidth="1"/>
    <col min="4098" max="4098" width="17.140625" customWidth="1"/>
    <col min="4099" max="4099" width="10.28515625" customWidth="1"/>
    <col min="4100" max="4100" width="8.7109375" customWidth="1"/>
    <col min="4101" max="4101" width="9.42578125" customWidth="1"/>
    <col min="4102" max="4102" width="8.42578125" customWidth="1"/>
    <col min="4354" max="4354" width="17.140625" customWidth="1"/>
    <col min="4355" max="4355" width="10.28515625" customWidth="1"/>
    <col min="4356" max="4356" width="8.7109375" customWidth="1"/>
    <col min="4357" max="4357" width="9.42578125" customWidth="1"/>
    <col min="4358" max="4358" width="8.42578125" customWidth="1"/>
    <col min="4610" max="4610" width="17.140625" customWidth="1"/>
    <col min="4611" max="4611" width="10.28515625" customWidth="1"/>
    <col min="4612" max="4612" width="8.7109375" customWidth="1"/>
    <col min="4613" max="4613" width="9.42578125" customWidth="1"/>
    <col min="4614" max="4614" width="8.42578125" customWidth="1"/>
    <col min="4866" max="4866" width="17.140625" customWidth="1"/>
    <col min="4867" max="4867" width="10.28515625" customWidth="1"/>
    <col min="4868" max="4868" width="8.7109375" customWidth="1"/>
    <col min="4869" max="4869" width="9.42578125" customWidth="1"/>
    <col min="4870" max="4870" width="8.42578125" customWidth="1"/>
    <col min="5122" max="5122" width="17.140625" customWidth="1"/>
    <col min="5123" max="5123" width="10.28515625" customWidth="1"/>
    <col min="5124" max="5124" width="8.7109375" customWidth="1"/>
    <col min="5125" max="5125" width="9.42578125" customWidth="1"/>
    <col min="5126" max="5126" width="8.42578125" customWidth="1"/>
    <col min="5378" max="5378" width="17.140625" customWidth="1"/>
    <col min="5379" max="5379" width="10.28515625" customWidth="1"/>
    <col min="5380" max="5380" width="8.7109375" customWidth="1"/>
    <col min="5381" max="5381" width="9.42578125" customWidth="1"/>
    <col min="5382" max="5382" width="8.42578125" customWidth="1"/>
    <col min="5634" max="5634" width="17.140625" customWidth="1"/>
    <col min="5635" max="5635" width="10.28515625" customWidth="1"/>
    <col min="5636" max="5636" width="8.7109375" customWidth="1"/>
    <col min="5637" max="5637" width="9.42578125" customWidth="1"/>
    <col min="5638" max="5638" width="8.42578125" customWidth="1"/>
    <col min="5890" max="5890" width="17.140625" customWidth="1"/>
    <col min="5891" max="5891" width="10.28515625" customWidth="1"/>
    <col min="5892" max="5892" width="8.7109375" customWidth="1"/>
    <col min="5893" max="5893" width="9.42578125" customWidth="1"/>
    <col min="5894" max="5894" width="8.42578125" customWidth="1"/>
    <col min="6146" max="6146" width="17.140625" customWidth="1"/>
    <col min="6147" max="6147" width="10.28515625" customWidth="1"/>
    <col min="6148" max="6148" width="8.7109375" customWidth="1"/>
    <col min="6149" max="6149" width="9.42578125" customWidth="1"/>
    <col min="6150" max="6150" width="8.42578125" customWidth="1"/>
    <col min="6402" max="6402" width="17.140625" customWidth="1"/>
    <col min="6403" max="6403" width="10.28515625" customWidth="1"/>
    <col min="6404" max="6404" width="8.7109375" customWidth="1"/>
    <col min="6405" max="6405" width="9.42578125" customWidth="1"/>
    <col min="6406" max="6406" width="8.42578125" customWidth="1"/>
    <col min="6658" max="6658" width="17.140625" customWidth="1"/>
    <col min="6659" max="6659" width="10.28515625" customWidth="1"/>
    <col min="6660" max="6660" width="8.7109375" customWidth="1"/>
    <col min="6661" max="6661" width="9.42578125" customWidth="1"/>
    <col min="6662" max="6662" width="8.42578125" customWidth="1"/>
    <col min="6914" max="6914" width="17.140625" customWidth="1"/>
    <col min="6915" max="6915" width="10.28515625" customWidth="1"/>
    <col min="6916" max="6916" width="8.7109375" customWidth="1"/>
    <col min="6917" max="6917" width="9.42578125" customWidth="1"/>
    <col min="6918" max="6918" width="8.42578125" customWidth="1"/>
    <col min="7170" max="7170" width="17.140625" customWidth="1"/>
    <col min="7171" max="7171" width="10.28515625" customWidth="1"/>
    <col min="7172" max="7172" width="8.7109375" customWidth="1"/>
    <col min="7173" max="7173" width="9.42578125" customWidth="1"/>
    <col min="7174" max="7174" width="8.42578125" customWidth="1"/>
    <col min="7426" max="7426" width="17.140625" customWidth="1"/>
    <col min="7427" max="7427" width="10.28515625" customWidth="1"/>
    <col min="7428" max="7428" width="8.7109375" customWidth="1"/>
    <col min="7429" max="7429" width="9.42578125" customWidth="1"/>
    <col min="7430" max="7430" width="8.42578125" customWidth="1"/>
    <col min="7682" max="7682" width="17.140625" customWidth="1"/>
    <col min="7683" max="7683" width="10.28515625" customWidth="1"/>
    <col min="7684" max="7684" width="8.7109375" customWidth="1"/>
    <col min="7685" max="7685" width="9.42578125" customWidth="1"/>
    <col min="7686" max="7686" width="8.42578125" customWidth="1"/>
    <col min="7938" max="7938" width="17.140625" customWidth="1"/>
    <col min="7939" max="7939" width="10.28515625" customWidth="1"/>
    <col min="7940" max="7940" width="8.7109375" customWidth="1"/>
    <col min="7941" max="7941" width="9.42578125" customWidth="1"/>
    <col min="7942" max="7942" width="8.42578125" customWidth="1"/>
    <col min="8194" max="8194" width="17.140625" customWidth="1"/>
    <col min="8195" max="8195" width="10.28515625" customWidth="1"/>
    <col min="8196" max="8196" width="8.7109375" customWidth="1"/>
    <col min="8197" max="8197" width="9.42578125" customWidth="1"/>
    <col min="8198" max="8198" width="8.42578125" customWidth="1"/>
    <col min="8450" max="8450" width="17.140625" customWidth="1"/>
    <col min="8451" max="8451" width="10.28515625" customWidth="1"/>
    <col min="8452" max="8452" width="8.7109375" customWidth="1"/>
    <col min="8453" max="8453" width="9.42578125" customWidth="1"/>
    <col min="8454" max="8454" width="8.42578125" customWidth="1"/>
    <col min="8706" max="8706" width="17.140625" customWidth="1"/>
    <col min="8707" max="8707" width="10.28515625" customWidth="1"/>
    <col min="8708" max="8708" width="8.7109375" customWidth="1"/>
    <col min="8709" max="8709" width="9.42578125" customWidth="1"/>
    <col min="8710" max="8710" width="8.42578125" customWidth="1"/>
    <col min="8962" max="8962" width="17.140625" customWidth="1"/>
    <col min="8963" max="8963" width="10.28515625" customWidth="1"/>
    <col min="8964" max="8964" width="8.7109375" customWidth="1"/>
    <col min="8965" max="8965" width="9.42578125" customWidth="1"/>
    <col min="8966" max="8966" width="8.42578125" customWidth="1"/>
    <col min="9218" max="9218" width="17.140625" customWidth="1"/>
    <col min="9219" max="9219" width="10.28515625" customWidth="1"/>
    <col min="9220" max="9220" width="8.7109375" customWidth="1"/>
    <col min="9221" max="9221" width="9.42578125" customWidth="1"/>
    <col min="9222" max="9222" width="8.42578125" customWidth="1"/>
    <col min="9474" max="9474" width="17.140625" customWidth="1"/>
    <col min="9475" max="9475" width="10.28515625" customWidth="1"/>
    <col min="9476" max="9476" width="8.7109375" customWidth="1"/>
    <col min="9477" max="9477" width="9.42578125" customWidth="1"/>
    <col min="9478" max="9478" width="8.42578125" customWidth="1"/>
    <col min="9730" max="9730" width="17.140625" customWidth="1"/>
    <col min="9731" max="9731" width="10.28515625" customWidth="1"/>
    <col min="9732" max="9732" width="8.7109375" customWidth="1"/>
    <col min="9733" max="9733" width="9.42578125" customWidth="1"/>
    <col min="9734" max="9734" width="8.42578125" customWidth="1"/>
    <col min="9986" max="9986" width="17.140625" customWidth="1"/>
    <col min="9987" max="9987" width="10.28515625" customWidth="1"/>
    <col min="9988" max="9988" width="8.7109375" customWidth="1"/>
    <col min="9989" max="9989" width="9.42578125" customWidth="1"/>
    <col min="9990" max="9990" width="8.42578125" customWidth="1"/>
    <col min="10242" max="10242" width="17.140625" customWidth="1"/>
    <col min="10243" max="10243" width="10.28515625" customWidth="1"/>
    <col min="10244" max="10244" width="8.7109375" customWidth="1"/>
    <col min="10245" max="10245" width="9.42578125" customWidth="1"/>
    <col min="10246" max="10246" width="8.42578125" customWidth="1"/>
    <col min="10498" max="10498" width="17.140625" customWidth="1"/>
    <col min="10499" max="10499" width="10.28515625" customWidth="1"/>
    <col min="10500" max="10500" width="8.7109375" customWidth="1"/>
    <col min="10501" max="10501" width="9.42578125" customWidth="1"/>
    <col min="10502" max="10502" width="8.42578125" customWidth="1"/>
    <col min="10754" max="10754" width="17.140625" customWidth="1"/>
    <col min="10755" max="10755" width="10.28515625" customWidth="1"/>
    <col min="10756" max="10756" width="8.7109375" customWidth="1"/>
    <col min="10757" max="10757" width="9.42578125" customWidth="1"/>
    <col min="10758" max="10758" width="8.42578125" customWidth="1"/>
    <col min="11010" max="11010" width="17.140625" customWidth="1"/>
    <col min="11011" max="11011" width="10.28515625" customWidth="1"/>
    <col min="11012" max="11012" width="8.7109375" customWidth="1"/>
    <col min="11013" max="11013" width="9.42578125" customWidth="1"/>
    <col min="11014" max="11014" width="8.42578125" customWidth="1"/>
    <col min="11266" max="11266" width="17.140625" customWidth="1"/>
    <col min="11267" max="11267" width="10.28515625" customWidth="1"/>
    <col min="11268" max="11268" width="8.7109375" customWidth="1"/>
    <col min="11269" max="11269" width="9.42578125" customWidth="1"/>
    <col min="11270" max="11270" width="8.42578125" customWidth="1"/>
    <col min="11522" max="11522" width="17.140625" customWidth="1"/>
    <col min="11523" max="11523" width="10.28515625" customWidth="1"/>
    <col min="11524" max="11524" width="8.7109375" customWidth="1"/>
    <col min="11525" max="11525" width="9.42578125" customWidth="1"/>
    <col min="11526" max="11526" width="8.42578125" customWidth="1"/>
    <col min="11778" max="11778" width="17.140625" customWidth="1"/>
    <col min="11779" max="11779" width="10.28515625" customWidth="1"/>
    <col min="11780" max="11780" width="8.7109375" customWidth="1"/>
    <col min="11781" max="11781" width="9.42578125" customWidth="1"/>
    <col min="11782" max="11782" width="8.42578125" customWidth="1"/>
    <col min="12034" max="12034" width="17.140625" customWidth="1"/>
    <col min="12035" max="12035" width="10.28515625" customWidth="1"/>
    <col min="12036" max="12036" width="8.7109375" customWidth="1"/>
    <col min="12037" max="12037" width="9.42578125" customWidth="1"/>
    <col min="12038" max="12038" width="8.42578125" customWidth="1"/>
    <col min="12290" max="12290" width="17.140625" customWidth="1"/>
    <col min="12291" max="12291" width="10.28515625" customWidth="1"/>
    <col min="12292" max="12292" width="8.7109375" customWidth="1"/>
    <col min="12293" max="12293" width="9.42578125" customWidth="1"/>
    <col min="12294" max="12294" width="8.42578125" customWidth="1"/>
    <col min="12546" max="12546" width="17.140625" customWidth="1"/>
    <col min="12547" max="12547" width="10.28515625" customWidth="1"/>
    <col min="12548" max="12548" width="8.7109375" customWidth="1"/>
    <col min="12549" max="12549" width="9.42578125" customWidth="1"/>
    <col min="12550" max="12550" width="8.42578125" customWidth="1"/>
    <col min="12802" max="12802" width="17.140625" customWidth="1"/>
    <col min="12803" max="12803" width="10.28515625" customWidth="1"/>
    <col min="12804" max="12804" width="8.7109375" customWidth="1"/>
    <col min="12805" max="12805" width="9.42578125" customWidth="1"/>
    <col min="12806" max="12806" width="8.42578125" customWidth="1"/>
    <col min="13058" max="13058" width="17.140625" customWidth="1"/>
    <col min="13059" max="13059" width="10.28515625" customWidth="1"/>
    <col min="13060" max="13060" width="8.7109375" customWidth="1"/>
    <col min="13061" max="13061" width="9.42578125" customWidth="1"/>
    <col min="13062" max="13062" width="8.42578125" customWidth="1"/>
    <col min="13314" max="13314" width="17.140625" customWidth="1"/>
    <col min="13315" max="13315" width="10.28515625" customWidth="1"/>
    <col min="13316" max="13316" width="8.7109375" customWidth="1"/>
    <col min="13317" max="13317" width="9.42578125" customWidth="1"/>
    <col min="13318" max="13318" width="8.42578125" customWidth="1"/>
    <col min="13570" max="13570" width="17.140625" customWidth="1"/>
    <col min="13571" max="13571" width="10.28515625" customWidth="1"/>
    <col min="13572" max="13572" width="8.7109375" customWidth="1"/>
    <col min="13573" max="13573" width="9.42578125" customWidth="1"/>
    <col min="13574" max="13574" width="8.42578125" customWidth="1"/>
    <col min="13826" max="13826" width="17.140625" customWidth="1"/>
    <col min="13827" max="13827" width="10.28515625" customWidth="1"/>
    <col min="13828" max="13828" width="8.7109375" customWidth="1"/>
    <col min="13829" max="13829" width="9.42578125" customWidth="1"/>
    <col min="13830" max="13830" width="8.42578125" customWidth="1"/>
    <col min="14082" max="14082" width="17.140625" customWidth="1"/>
    <col min="14083" max="14083" width="10.28515625" customWidth="1"/>
    <col min="14084" max="14084" width="8.7109375" customWidth="1"/>
    <col min="14085" max="14085" width="9.42578125" customWidth="1"/>
    <col min="14086" max="14086" width="8.42578125" customWidth="1"/>
    <col min="14338" max="14338" width="17.140625" customWidth="1"/>
    <col min="14339" max="14339" width="10.28515625" customWidth="1"/>
    <col min="14340" max="14340" width="8.7109375" customWidth="1"/>
    <col min="14341" max="14341" width="9.42578125" customWidth="1"/>
    <col min="14342" max="14342" width="8.42578125" customWidth="1"/>
    <col min="14594" max="14594" width="17.140625" customWidth="1"/>
    <col min="14595" max="14595" width="10.28515625" customWidth="1"/>
    <col min="14596" max="14596" width="8.7109375" customWidth="1"/>
    <col min="14597" max="14597" width="9.42578125" customWidth="1"/>
    <col min="14598" max="14598" width="8.42578125" customWidth="1"/>
    <col min="14850" max="14850" width="17.140625" customWidth="1"/>
    <col min="14851" max="14851" width="10.28515625" customWidth="1"/>
    <col min="14852" max="14852" width="8.7109375" customWidth="1"/>
    <col min="14853" max="14853" width="9.42578125" customWidth="1"/>
    <col min="14854" max="14854" width="8.42578125" customWidth="1"/>
    <col min="15106" max="15106" width="17.140625" customWidth="1"/>
    <col min="15107" max="15107" width="10.28515625" customWidth="1"/>
    <col min="15108" max="15108" width="8.7109375" customWidth="1"/>
    <col min="15109" max="15109" width="9.42578125" customWidth="1"/>
    <col min="15110" max="15110" width="8.42578125" customWidth="1"/>
    <col min="15362" max="15362" width="17.140625" customWidth="1"/>
    <col min="15363" max="15363" width="10.28515625" customWidth="1"/>
    <col min="15364" max="15364" width="8.7109375" customWidth="1"/>
    <col min="15365" max="15365" width="9.42578125" customWidth="1"/>
    <col min="15366" max="15366" width="8.42578125" customWidth="1"/>
    <col min="15618" max="15618" width="17.140625" customWidth="1"/>
    <col min="15619" max="15619" width="10.28515625" customWidth="1"/>
    <col min="15620" max="15620" width="8.7109375" customWidth="1"/>
    <col min="15621" max="15621" width="9.42578125" customWidth="1"/>
    <col min="15622" max="15622" width="8.42578125" customWidth="1"/>
    <col min="15874" max="15874" width="17.140625" customWidth="1"/>
    <col min="15875" max="15875" width="10.28515625" customWidth="1"/>
    <col min="15876" max="15876" width="8.7109375" customWidth="1"/>
    <col min="15877" max="15877" width="9.42578125" customWidth="1"/>
    <col min="15878" max="15878" width="8.42578125" customWidth="1"/>
    <col min="16130" max="16130" width="17.140625" customWidth="1"/>
    <col min="16131" max="16131" width="10.28515625" customWidth="1"/>
    <col min="16132" max="16132" width="8.7109375" customWidth="1"/>
    <col min="16133" max="16133" width="9.42578125" customWidth="1"/>
    <col min="16134" max="16134" width="8.42578125" customWidth="1"/>
  </cols>
  <sheetData>
    <row r="3" spans="2:8" ht="32.25" customHeight="1" x14ac:dyDescent="0.25">
      <c r="B3" s="207" t="s">
        <v>102</v>
      </c>
      <c r="C3" s="207"/>
      <c r="D3" s="207"/>
      <c r="E3" s="207"/>
      <c r="F3" s="207"/>
    </row>
    <row r="4" spans="2:8" x14ac:dyDescent="0.25">
      <c r="C4" s="107" t="s">
        <v>103</v>
      </c>
      <c r="D4" s="108"/>
      <c r="E4" s="107" t="s">
        <v>104</v>
      </c>
      <c r="F4" s="108"/>
    </row>
    <row r="5" spans="2:8" x14ac:dyDescent="0.25">
      <c r="B5" s="109" t="s">
        <v>105</v>
      </c>
      <c r="C5" s="110"/>
      <c r="D5" s="111" t="s">
        <v>106</v>
      </c>
      <c r="E5" s="110"/>
      <c r="F5" s="111" t="s">
        <v>107</v>
      </c>
    </row>
    <row r="6" spans="2:8" x14ac:dyDescent="0.25">
      <c r="B6" s="112" t="s">
        <v>108</v>
      </c>
      <c r="C6" s="113"/>
      <c r="D6" s="114"/>
      <c r="E6" s="115">
        <v>29556</v>
      </c>
      <c r="F6" s="114">
        <f>E6/$E$9</f>
        <v>0.47746437917999418</v>
      </c>
    </row>
    <row r="7" spans="2:8" x14ac:dyDescent="0.25">
      <c r="B7" s="116" t="s">
        <v>109</v>
      </c>
      <c r="C7" s="113"/>
      <c r="D7" s="114"/>
      <c r="E7" s="115">
        <v>27398</v>
      </c>
      <c r="F7" s="114">
        <f>E7/$E$9</f>
        <v>0.44260282381829341</v>
      </c>
      <c r="H7" s="117"/>
    </row>
    <row r="8" spans="2:8" x14ac:dyDescent="0.25">
      <c r="B8" s="116" t="s">
        <v>110</v>
      </c>
      <c r="C8" s="113"/>
      <c r="D8" s="114"/>
      <c r="E8" s="115">
        <v>4948</v>
      </c>
      <c r="F8" s="114">
        <f>E8/$E$9</f>
        <v>7.993279700171238E-2</v>
      </c>
      <c r="H8" s="117"/>
    </row>
    <row r="9" spans="2:8" s="122" customFormat="1" ht="12.75" x14ac:dyDescent="0.2">
      <c r="B9" s="118" t="s">
        <v>111</v>
      </c>
      <c r="C9" s="119"/>
      <c r="D9" s="120"/>
      <c r="E9" s="121">
        <f>SUM(E6:E8)</f>
        <v>61902</v>
      </c>
      <c r="F9" s="120">
        <f>E9/$E$9</f>
        <v>1</v>
      </c>
    </row>
    <row r="10" spans="2:8" s="122" customFormat="1" ht="24" customHeight="1" x14ac:dyDescent="0.2">
      <c r="B10" s="208" t="s">
        <v>112</v>
      </c>
      <c r="C10" s="208"/>
      <c r="D10" s="208"/>
      <c r="E10" s="208"/>
      <c r="F10" s="208"/>
    </row>
    <row r="12" spans="2:8" ht="15.75" thickBot="1" x14ac:dyDescent="0.3">
      <c r="B12" t="s">
        <v>113</v>
      </c>
    </row>
    <row r="13" spans="2:8" ht="12.75" customHeight="1" thickBot="1" x14ac:dyDescent="0.3">
      <c r="C13" s="123" t="s">
        <v>103</v>
      </c>
      <c r="D13" s="124"/>
      <c r="E13" s="123" t="s">
        <v>104</v>
      </c>
      <c r="F13" s="125"/>
      <c r="H13" s="117"/>
    </row>
    <row r="14" spans="2:8" ht="15.75" thickBot="1" x14ac:dyDescent="0.3">
      <c r="B14" s="126" t="s">
        <v>105</v>
      </c>
      <c r="C14" s="127"/>
      <c r="D14" s="128" t="s">
        <v>114</v>
      </c>
      <c r="E14" s="127"/>
      <c r="F14" s="129" t="s">
        <v>115</v>
      </c>
    </row>
    <row r="15" spans="2:8" x14ac:dyDescent="0.25">
      <c r="B15" s="130" t="s">
        <v>108</v>
      </c>
      <c r="C15" s="131"/>
      <c r="D15" s="132"/>
      <c r="E15" s="106">
        <v>27849</v>
      </c>
      <c r="F15" s="133">
        <f>E15/$E$18</f>
        <v>0.43608775308873959</v>
      </c>
    </row>
    <row r="16" spans="2:8" x14ac:dyDescent="0.25">
      <c r="B16" s="116" t="s">
        <v>109</v>
      </c>
      <c r="C16" s="131"/>
      <c r="D16" s="132"/>
      <c r="E16" s="34">
        <v>28002</v>
      </c>
      <c r="F16" s="133">
        <f>E16/$E$18</f>
        <v>0.43848358152863248</v>
      </c>
    </row>
    <row r="17" spans="2:10" ht="15.75" thickBot="1" x14ac:dyDescent="0.3">
      <c r="B17" s="116" t="s">
        <v>110</v>
      </c>
      <c r="C17" s="131"/>
      <c r="D17" s="132"/>
      <c r="E17" s="35">
        <v>8010</v>
      </c>
      <c r="F17" s="133">
        <f>E17/$E$18</f>
        <v>0.1254286653826279</v>
      </c>
    </row>
    <row r="18" spans="2:10" s="122" customFormat="1" ht="13.5" thickBot="1" x14ac:dyDescent="0.25">
      <c r="B18" s="134" t="s">
        <v>111</v>
      </c>
      <c r="C18" s="135"/>
      <c r="D18" s="136"/>
      <c r="E18" s="137">
        <f>SUM(E15:E17)</f>
        <v>63861</v>
      </c>
      <c r="F18" s="138">
        <f>E18/$E$18</f>
        <v>1</v>
      </c>
    </row>
    <row r="19" spans="2:10" x14ac:dyDescent="0.25">
      <c r="B19" s="209" t="s">
        <v>116</v>
      </c>
      <c r="C19" s="210"/>
      <c r="D19" s="210"/>
      <c r="E19" s="210"/>
    </row>
    <row r="20" spans="2:10" x14ac:dyDescent="0.25">
      <c r="E20" s="139" t="s">
        <v>102</v>
      </c>
    </row>
    <row r="23" spans="2:10" ht="15.75" thickBot="1" x14ac:dyDescent="0.3">
      <c r="B23" s="109" t="s">
        <v>105</v>
      </c>
      <c r="C23" s="110"/>
      <c r="D23" s="111" t="s">
        <v>106</v>
      </c>
      <c r="E23" s="110"/>
      <c r="F23" s="111" t="s">
        <v>107</v>
      </c>
      <c r="G23" s="127"/>
      <c r="H23" s="128" t="s">
        <v>114</v>
      </c>
      <c r="I23" s="127"/>
      <c r="J23" s="129" t="s">
        <v>115</v>
      </c>
    </row>
    <row r="24" spans="2:10" x14ac:dyDescent="0.25">
      <c r="B24" s="112" t="s">
        <v>108</v>
      </c>
      <c r="C24" s="113"/>
      <c r="D24" s="114"/>
      <c r="E24" s="140">
        <v>25726</v>
      </c>
      <c r="F24" s="114">
        <f>E24/$E$9</f>
        <v>0.41559238796807857</v>
      </c>
      <c r="G24" s="131">
        <v>243529</v>
      </c>
      <c r="H24" s="132" t="e">
        <f>G24/$C$18</f>
        <v>#DIV/0!</v>
      </c>
      <c r="I24" s="141">
        <v>27122</v>
      </c>
      <c r="J24" s="133">
        <f>I24/$E$18</f>
        <v>0.42470365324689557</v>
      </c>
    </row>
    <row r="25" spans="2:10" x14ac:dyDescent="0.25">
      <c r="B25" s="112" t="s">
        <v>117</v>
      </c>
      <c r="C25" s="113"/>
      <c r="D25" s="114"/>
      <c r="E25" s="140">
        <v>12084</v>
      </c>
      <c r="F25" s="114">
        <f>E25/$E$9</f>
        <v>0.19521178637200737</v>
      </c>
      <c r="G25" s="131">
        <v>154760</v>
      </c>
      <c r="H25" s="132" t="e">
        <f>G25/$C$18</f>
        <v>#DIV/0!</v>
      </c>
      <c r="I25" s="141">
        <v>15041</v>
      </c>
      <c r="J25" s="133">
        <f>I25/$E$18</f>
        <v>0.23552716055182349</v>
      </c>
    </row>
    <row r="26" spans="2:10" x14ac:dyDescent="0.25">
      <c r="B26" s="112" t="s">
        <v>118</v>
      </c>
      <c r="C26" s="113"/>
      <c r="D26" s="114"/>
      <c r="E26" s="140">
        <v>9375</v>
      </c>
      <c r="F26" s="114">
        <f>E26/$E$9</f>
        <v>0.15144906465057673</v>
      </c>
      <c r="G26" s="131">
        <v>103645</v>
      </c>
      <c r="H26" s="132" t="e">
        <f>G26/$C$18</f>
        <v>#DIV/0!</v>
      </c>
      <c r="I26" s="141">
        <v>10173</v>
      </c>
      <c r="J26" s="133">
        <f>I26/$E$18</f>
        <v>0.15929910273876075</v>
      </c>
    </row>
    <row r="27" spans="2:10" ht="15.75" thickBot="1" x14ac:dyDescent="0.3">
      <c r="B27" s="112" t="s">
        <v>119</v>
      </c>
      <c r="C27" s="113"/>
      <c r="D27" s="114"/>
      <c r="E27" s="140">
        <v>1015</v>
      </c>
      <c r="F27" s="114">
        <f>E27/$E$9</f>
        <v>1.6396885399502438E-2</v>
      </c>
      <c r="G27" s="131">
        <v>25026</v>
      </c>
      <c r="H27" s="132" t="e">
        <f>G27/$C$18</f>
        <v>#DIV/0!</v>
      </c>
      <c r="I27" s="141">
        <v>2544</v>
      </c>
      <c r="J27" s="133">
        <f>I27/$E$18</f>
        <v>3.9836519941748486E-2</v>
      </c>
    </row>
    <row r="28" spans="2:10" ht="15.75" thickBot="1" x14ac:dyDescent="0.3">
      <c r="B28" s="118" t="s">
        <v>111</v>
      </c>
      <c r="C28" s="119"/>
      <c r="D28" s="120"/>
      <c r="E28" s="121">
        <f>SUM(E24:E27)</f>
        <v>48200</v>
      </c>
      <c r="F28" s="120">
        <f>E28/$E$9</f>
        <v>0.77865012439016512</v>
      </c>
      <c r="G28" s="135">
        <f>SUM(G24:G27)</f>
        <v>526960</v>
      </c>
      <c r="H28" s="136" t="e">
        <f>SUM(H24:H27)</f>
        <v>#DIV/0!</v>
      </c>
      <c r="I28" s="137">
        <f>SUM(I24:I27)</f>
        <v>54880</v>
      </c>
      <c r="J28" s="138">
        <f>I28/$E$18</f>
        <v>0.85936643647922828</v>
      </c>
    </row>
    <row r="31" spans="2:10" x14ac:dyDescent="0.25">
      <c r="B31" s="211" t="s">
        <v>120</v>
      </c>
      <c r="C31" s="212"/>
      <c r="D31" s="212"/>
    </row>
    <row r="32" spans="2:10" x14ac:dyDescent="0.25">
      <c r="B32" s="213"/>
      <c r="C32" s="213"/>
      <c r="D32" s="213"/>
    </row>
    <row r="33" spans="2:4" x14ac:dyDescent="0.25">
      <c r="C33" t="s">
        <v>121</v>
      </c>
      <c r="D33" t="s">
        <v>122</v>
      </c>
    </row>
    <row r="34" spans="2:4" x14ac:dyDescent="0.25">
      <c r="B34" s="47" t="s">
        <v>46</v>
      </c>
      <c r="C34" s="106">
        <v>27849</v>
      </c>
      <c r="D34" s="115">
        <v>29556</v>
      </c>
    </row>
    <row r="35" spans="2:4" x14ac:dyDescent="0.25">
      <c r="B35" s="3" t="s">
        <v>47</v>
      </c>
      <c r="C35" s="34">
        <v>28002</v>
      </c>
      <c r="D35" s="115">
        <v>27398</v>
      </c>
    </row>
    <row r="36" spans="2:4" x14ac:dyDescent="0.25">
      <c r="B36" s="5" t="s">
        <v>48</v>
      </c>
      <c r="C36" s="35">
        <v>8010</v>
      </c>
      <c r="D36" s="115">
        <v>4948</v>
      </c>
    </row>
    <row r="37" spans="2:4" x14ac:dyDescent="0.25">
      <c r="B37" s="3" t="s">
        <v>111</v>
      </c>
      <c r="C37" s="115">
        <f>SUM(C34:C36)</f>
        <v>63861</v>
      </c>
      <c r="D37" s="115">
        <f>SUM(D34:D36)</f>
        <v>61902</v>
      </c>
    </row>
    <row r="38" spans="2:4" x14ac:dyDescent="0.25">
      <c r="B38" s="214" t="s">
        <v>123</v>
      </c>
      <c r="C38" s="214"/>
      <c r="D38" s="214"/>
    </row>
    <row r="39" spans="2:4" x14ac:dyDescent="0.25">
      <c r="B39" s="214"/>
      <c r="C39" s="214"/>
      <c r="D39" s="214"/>
    </row>
  </sheetData>
  <mergeCells count="5">
    <mergeCell ref="B3:F3"/>
    <mergeCell ref="B10:F10"/>
    <mergeCell ref="B19:E19"/>
    <mergeCell ref="B31:D32"/>
    <mergeCell ref="B38:D39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4"/>
  <sheetViews>
    <sheetView workbookViewId="0">
      <selection activeCell="F1" sqref="F1"/>
    </sheetView>
  </sheetViews>
  <sheetFormatPr defaultRowHeight="15" x14ac:dyDescent="0.25"/>
  <sheetData>
    <row r="2" spans="4:13" x14ac:dyDescent="0.25">
      <c r="D2" s="189" t="s">
        <v>124</v>
      </c>
      <c r="E2" s="189"/>
      <c r="F2" s="189"/>
      <c r="G2" s="189"/>
      <c r="H2" s="189"/>
      <c r="I2" s="189"/>
      <c r="J2" s="189"/>
      <c r="K2" s="189"/>
      <c r="L2" s="189"/>
      <c r="M2" s="189"/>
    </row>
    <row r="3" spans="4:13" x14ac:dyDescent="0.25"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4:13" x14ac:dyDescent="0.25">
      <c r="D4" s="197" t="s">
        <v>125</v>
      </c>
      <c r="E4" s="215" t="s">
        <v>126</v>
      </c>
      <c r="F4" s="215"/>
      <c r="G4" s="215"/>
      <c r="H4" s="215"/>
      <c r="I4" s="215"/>
      <c r="J4" s="215"/>
      <c r="K4" s="215"/>
      <c r="L4" s="215"/>
      <c r="M4" s="215"/>
    </row>
    <row r="5" spans="4:13" x14ac:dyDescent="0.25">
      <c r="D5" s="198"/>
      <c r="E5" s="215" t="s">
        <v>27</v>
      </c>
      <c r="F5" s="215"/>
      <c r="G5" s="215"/>
      <c r="H5" s="215" t="s">
        <v>32</v>
      </c>
      <c r="I5" s="215"/>
      <c r="J5" s="215"/>
      <c r="K5" s="215" t="s">
        <v>33</v>
      </c>
      <c r="L5" s="215"/>
      <c r="M5" s="215"/>
    </row>
    <row r="6" spans="4:13" x14ac:dyDescent="0.25">
      <c r="D6" s="199"/>
      <c r="E6" s="142" t="s">
        <v>27</v>
      </c>
      <c r="F6" s="142" t="s">
        <v>34</v>
      </c>
      <c r="G6" s="142" t="s">
        <v>35</v>
      </c>
      <c r="H6" s="142" t="s">
        <v>27</v>
      </c>
      <c r="I6" s="142" t="s">
        <v>34</v>
      </c>
      <c r="J6" s="142" t="s">
        <v>35</v>
      </c>
      <c r="K6" s="142" t="s">
        <v>27</v>
      </c>
      <c r="L6" s="142" t="s">
        <v>34</v>
      </c>
      <c r="M6" s="142" t="s">
        <v>35</v>
      </c>
    </row>
    <row r="7" spans="4:13" x14ac:dyDescent="0.25">
      <c r="D7" s="3" t="s">
        <v>127</v>
      </c>
      <c r="E7" s="143">
        <v>19776</v>
      </c>
      <c r="F7" s="143">
        <v>10058</v>
      </c>
      <c r="G7" s="143">
        <v>9718</v>
      </c>
      <c r="H7" s="143">
        <v>1619</v>
      </c>
      <c r="I7" s="143">
        <v>863</v>
      </c>
      <c r="J7" s="143">
        <v>756</v>
      </c>
      <c r="K7" s="143">
        <v>18157</v>
      </c>
      <c r="L7" s="143">
        <v>9195</v>
      </c>
      <c r="M7" s="143">
        <v>8962</v>
      </c>
    </row>
    <row r="8" spans="4:13" x14ac:dyDescent="0.25">
      <c r="D8" s="3" t="s">
        <v>128</v>
      </c>
      <c r="E8" s="143">
        <v>18725</v>
      </c>
      <c r="F8" s="143">
        <v>9441</v>
      </c>
      <c r="G8" s="143">
        <v>9284</v>
      </c>
      <c r="H8" s="143">
        <v>3683</v>
      </c>
      <c r="I8" s="143">
        <v>1877</v>
      </c>
      <c r="J8" s="143">
        <v>1806</v>
      </c>
      <c r="K8" s="143">
        <v>15042</v>
      </c>
      <c r="L8" s="143">
        <v>7564</v>
      </c>
      <c r="M8" s="143">
        <v>7478</v>
      </c>
    </row>
    <row r="9" spans="4:13" x14ac:dyDescent="0.25">
      <c r="D9" s="3" t="s">
        <v>129</v>
      </c>
      <c r="E9" s="143">
        <v>4900</v>
      </c>
      <c r="F9" s="143">
        <v>2348</v>
      </c>
      <c r="G9" s="143">
        <v>2552</v>
      </c>
      <c r="H9" s="143">
        <v>1747</v>
      </c>
      <c r="I9" s="143">
        <v>797</v>
      </c>
      <c r="J9" s="143">
        <v>950</v>
      </c>
      <c r="K9" s="143">
        <v>3153</v>
      </c>
      <c r="L9" s="143">
        <v>1551</v>
      </c>
      <c r="M9" s="143">
        <v>1602</v>
      </c>
    </row>
    <row r="10" spans="4:13" x14ac:dyDescent="0.25">
      <c r="D10" s="5" t="s">
        <v>27</v>
      </c>
      <c r="E10" s="144">
        <f t="shared" ref="E10:M10" si="0">SUM(E7:E9)</f>
        <v>43401</v>
      </c>
      <c r="F10" s="144">
        <f t="shared" si="0"/>
        <v>21847</v>
      </c>
      <c r="G10" s="144">
        <f t="shared" si="0"/>
        <v>21554</v>
      </c>
      <c r="H10" s="144">
        <f t="shared" si="0"/>
        <v>7049</v>
      </c>
      <c r="I10" s="144">
        <f t="shared" si="0"/>
        <v>3537</v>
      </c>
      <c r="J10" s="144">
        <f t="shared" si="0"/>
        <v>3512</v>
      </c>
      <c r="K10" s="144">
        <f t="shared" si="0"/>
        <v>36352</v>
      </c>
      <c r="L10" s="144">
        <f t="shared" si="0"/>
        <v>18310</v>
      </c>
      <c r="M10" s="144">
        <f t="shared" si="0"/>
        <v>18042</v>
      </c>
    </row>
    <row r="11" spans="4:13" x14ac:dyDescent="0.25">
      <c r="D11" s="102" t="s">
        <v>98</v>
      </c>
      <c r="E11" s="15"/>
      <c r="F11" s="15"/>
      <c r="G11" s="15"/>
      <c r="H11" s="15"/>
      <c r="I11" s="15"/>
      <c r="J11" s="15"/>
      <c r="K11" s="15"/>
      <c r="L11" s="15"/>
      <c r="M11" s="15"/>
    </row>
    <row r="12" spans="4:13" x14ac:dyDescent="0.25">
      <c r="E12" s="15"/>
      <c r="G12" s="15"/>
      <c r="I12" s="15"/>
      <c r="K12" s="15"/>
    </row>
    <row r="13" spans="4:13" x14ac:dyDescent="0.25">
      <c r="D13" s="189" t="s">
        <v>130</v>
      </c>
      <c r="E13" s="189"/>
      <c r="F13" s="189"/>
      <c r="G13" s="189"/>
      <c r="H13" s="189"/>
      <c r="I13" s="189"/>
      <c r="J13" s="189"/>
      <c r="K13" s="189"/>
      <c r="L13" s="189"/>
      <c r="M13" s="189"/>
    </row>
    <row r="14" spans="4:13" x14ac:dyDescent="0.25">
      <c r="D14" s="190"/>
      <c r="E14" s="190"/>
      <c r="F14" s="190"/>
      <c r="G14" s="190"/>
      <c r="H14" s="190"/>
      <c r="I14" s="190"/>
      <c r="J14" s="190"/>
      <c r="K14" s="190"/>
      <c r="L14" s="190"/>
      <c r="M14" s="190"/>
    </row>
    <row r="15" spans="4:13" x14ac:dyDescent="0.25">
      <c r="D15" s="198" t="s">
        <v>125</v>
      </c>
      <c r="E15" s="199" t="s">
        <v>126</v>
      </c>
      <c r="F15" s="199"/>
      <c r="G15" s="199"/>
      <c r="H15" s="199"/>
      <c r="I15" s="199"/>
      <c r="J15" s="199"/>
      <c r="K15" s="199"/>
      <c r="L15" s="199"/>
      <c r="M15" s="199"/>
    </row>
    <row r="16" spans="4:13" x14ac:dyDescent="0.25">
      <c r="D16" s="198"/>
      <c r="E16" s="215" t="s">
        <v>27</v>
      </c>
      <c r="F16" s="215"/>
      <c r="G16" s="215"/>
      <c r="H16" s="215" t="s">
        <v>32</v>
      </c>
      <c r="I16" s="215"/>
      <c r="J16" s="215"/>
      <c r="K16" s="215" t="s">
        <v>33</v>
      </c>
      <c r="L16" s="215"/>
      <c r="M16" s="215"/>
    </row>
    <row r="17" spans="4:13" x14ac:dyDescent="0.25">
      <c r="D17" s="199"/>
      <c r="E17" s="142" t="s">
        <v>27</v>
      </c>
      <c r="F17" s="142" t="s">
        <v>34</v>
      </c>
      <c r="G17" s="142" t="s">
        <v>35</v>
      </c>
      <c r="H17" s="142" t="s">
        <v>27</v>
      </c>
      <c r="I17" s="142" t="s">
        <v>34</v>
      </c>
      <c r="J17" s="142" t="s">
        <v>35</v>
      </c>
      <c r="K17" s="142" t="s">
        <v>27</v>
      </c>
      <c r="L17" s="142" t="s">
        <v>34</v>
      </c>
      <c r="M17" s="142" t="s">
        <v>35</v>
      </c>
    </row>
    <row r="18" spans="4:13" x14ac:dyDescent="0.25">
      <c r="D18" s="1" t="s">
        <v>127</v>
      </c>
      <c r="E18" s="145">
        <v>3678</v>
      </c>
      <c r="F18" s="145">
        <v>1860</v>
      </c>
      <c r="G18" s="145">
        <v>1818</v>
      </c>
      <c r="H18" s="145">
        <v>1034</v>
      </c>
      <c r="I18" s="145">
        <v>513</v>
      </c>
      <c r="J18" s="145">
        <v>521</v>
      </c>
      <c r="K18" s="145">
        <v>2644</v>
      </c>
      <c r="L18" s="145">
        <v>1347</v>
      </c>
      <c r="M18" s="145">
        <v>1297</v>
      </c>
    </row>
    <row r="19" spans="4:13" x14ac:dyDescent="0.25">
      <c r="D19" s="3" t="s">
        <v>128</v>
      </c>
      <c r="E19" s="143">
        <v>3453</v>
      </c>
      <c r="F19" s="143">
        <v>1753</v>
      </c>
      <c r="G19" s="143">
        <v>1700</v>
      </c>
      <c r="H19" s="143">
        <v>1213</v>
      </c>
      <c r="I19" s="143">
        <v>603</v>
      </c>
      <c r="J19" s="143">
        <v>610</v>
      </c>
      <c r="K19" s="143">
        <v>2240</v>
      </c>
      <c r="L19" s="143">
        <v>1150</v>
      </c>
      <c r="M19" s="143">
        <v>1090</v>
      </c>
    </row>
    <row r="20" spans="4:13" x14ac:dyDescent="0.25">
      <c r="D20" s="3" t="s">
        <v>129</v>
      </c>
      <c r="E20" s="143">
        <v>895</v>
      </c>
      <c r="F20" s="143">
        <v>432</v>
      </c>
      <c r="G20" s="143">
        <v>463</v>
      </c>
      <c r="H20" s="143">
        <v>417</v>
      </c>
      <c r="I20" s="143">
        <v>190</v>
      </c>
      <c r="J20" s="143">
        <v>227</v>
      </c>
      <c r="K20" s="143">
        <v>478</v>
      </c>
      <c r="L20" s="143">
        <v>242</v>
      </c>
      <c r="M20" s="143">
        <v>236</v>
      </c>
    </row>
    <row r="21" spans="4:13" x14ac:dyDescent="0.25">
      <c r="D21" s="5" t="s">
        <v>27</v>
      </c>
      <c r="E21" s="144">
        <f t="shared" ref="E21:M21" si="1">SUM(E18:E20)</f>
        <v>8026</v>
      </c>
      <c r="F21" s="144">
        <f t="shared" si="1"/>
        <v>4045</v>
      </c>
      <c r="G21" s="144">
        <f t="shared" si="1"/>
        <v>3981</v>
      </c>
      <c r="H21" s="144">
        <f t="shared" si="1"/>
        <v>2664</v>
      </c>
      <c r="I21" s="144">
        <f t="shared" si="1"/>
        <v>1306</v>
      </c>
      <c r="J21" s="144">
        <f t="shared" si="1"/>
        <v>1358</v>
      </c>
      <c r="K21" s="144">
        <f t="shared" si="1"/>
        <v>5362</v>
      </c>
      <c r="L21" s="144">
        <f t="shared" si="1"/>
        <v>2739</v>
      </c>
      <c r="M21" s="144">
        <f t="shared" si="1"/>
        <v>2623</v>
      </c>
    </row>
    <row r="22" spans="4:13" x14ac:dyDescent="0.25">
      <c r="D22" s="102" t="s">
        <v>98</v>
      </c>
      <c r="E22" s="15"/>
      <c r="F22" s="15"/>
      <c r="G22" s="15"/>
      <c r="H22" s="15"/>
      <c r="I22" s="15"/>
      <c r="J22" s="15"/>
      <c r="K22" s="15"/>
      <c r="L22" s="15"/>
      <c r="M22" s="15"/>
    </row>
    <row r="23" spans="4:13" x14ac:dyDescent="0.25">
      <c r="E23" s="15"/>
      <c r="G23" s="15"/>
      <c r="I23" s="15"/>
      <c r="K23" s="15"/>
    </row>
    <row r="24" spans="4:13" x14ac:dyDescent="0.25">
      <c r="E24" s="15"/>
      <c r="G24" s="15"/>
      <c r="I24" s="15"/>
      <c r="K24" s="15"/>
    </row>
    <row r="25" spans="4:13" x14ac:dyDescent="0.25">
      <c r="D25" s="189" t="s">
        <v>131</v>
      </c>
      <c r="E25" s="189"/>
      <c r="F25" s="189"/>
      <c r="G25" s="189"/>
      <c r="H25" s="189"/>
      <c r="I25" s="189"/>
      <c r="J25" s="189"/>
      <c r="K25" s="189"/>
      <c r="L25" s="189"/>
      <c r="M25" s="189"/>
    </row>
    <row r="26" spans="4:13" x14ac:dyDescent="0.25">
      <c r="D26" s="190"/>
      <c r="E26" s="190"/>
      <c r="F26" s="190"/>
      <c r="G26" s="190"/>
      <c r="H26" s="190"/>
      <c r="I26" s="190"/>
      <c r="J26" s="190"/>
      <c r="K26" s="190"/>
      <c r="L26" s="190"/>
      <c r="M26" s="190"/>
    </row>
    <row r="27" spans="4:13" x14ac:dyDescent="0.25">
      <c r="D27" s="197" t="s">
        <v>125</v>
      </c>
      <c r="E27" s="215" t="s">
        <v>126</v>
      </c>
      <c r="F27" s="215"/>
      <c r="G27" s="215"/>
      <c r="H27" s="215"/>
      <c r="I27" s="215"/>
      <c r="J27" s="215"/>
      <c r="K27" s="215"/>
      <c r="L27" s="215"/>
      <c r="M27" s="215"/>
    </row>
    <row r="28" spans="4:13" x14ac:dyDescent="0.25">
      <c r="D28" s="198"/>
      <c r="E28" s="215" t="s">
        <v>27</v>
      </c>
      <c r="F28" s="215"/>
      <c r="G28" s="215"/>
      <c r="H28" s="215" t="s">
        <v>32</v>
      </c>
      <c r="I28" s="215"/>
      <c r="J28" s="215"/>
      <c r="K28" s="215" t="s">
        <v>33</v>
      </c>
      <c r="L28" s="215"/>
      <c r="M28" s="215"/>
    </row>
    <row r="29" spans="4:13" x14ac:dyDescent="0.25">
      <c r="D29" s="199"/>
      <c r="E29" s="142" t="s">
        <v>27</v>
      </c>
      <c r="F29" s="142" t="s">
        <v>34</v>
      </c>
      <c r="G29" s="142" t="s">
        <v>35</v>
      </c>
      <c r="H29" s="142" t="s">
        <v>27</v>
      </c>
      <c r="I29" s="142" t="s">
        <v>34</v>
      </c>
      <c r="J29" s="142" t="s">
        <v>35</v>
      </c>
      <c r="K29" s="142" t="s">
        <v>27</v>
      </c>
      <c r="L29" s="142" t="s">
        <v>34</v>
      </c>
      <c r="M29" s="142" t="s">
        <v>35</v>
      </c>
    </row>
    <row r="30" spans="4:13" x14ac:dyDescent="0.25">
      <c r="D30" s="3" t="s">
        <v>127</v>
      </c>
      <c r="E30" s="143">
        <f>3621+1431</f>
        <v>5052</v>
      </c>
      <c r="F30" s="143">
        <f>1798+737</f>
        <v>2535</v>
      </c>
      <c r="G30" s="143">
        <f>1823+694</f>
        <v>2517</v>
      </c>
      <c r="H30" s="143">
        <f>338+861</f>
        <v>1199</v>
      </c>
      <c r="I30" s="143">
        <f>165+439</f>
        <v>604</v>
      </c>
      <c r="J30" s="143">
        <f>173+422</f>
        <v>595</v>
      </c>
      <c r="K30" s="143">
        <f>3283+570</f>
        <v>3853</v>
      </c>
      <c r="L30" s="143">
        <f>1633+298</f>
        <v>1931</v>
      </c>
      <c r="M30" s="143">
        <f>1650+272</f>
        <v>1922</v>
      </c>
    </row>
    <row r="31" spans="4:13" x14ac:dyDescent="0.25">
      <c r="D31" s="3" t="s">
        <v>128</v>
      </c>
      <c r="E31" s="143">
        <f>3854+3916</f>
        <v>7770</v>
      </c>
      <c r="F31" s="143">
        <f>1999+2000</f>
        <v>3999</v>
      </c>
      <c r="G31" s="143">
        <f>1855+1916</f>
        <v>3771</v>
      </c>
      <c r="H31" s="143">
        <f>983+3253</f>
        <v>4236</v>
      </c>
      <c r="I31" s="143">
        <f>495+1649</f>
        <v>2144</v>
      </c>
      <c r="J31" s="143">
        <f>488+1604</f>
        <v>2092</v>
      </c>
      <c r="K31" s="143">
        <f>2871+663</f>
        <v>3534</v>
      </c>
      <c r="L31" s="143">
        <f>1504+351</f>
        <v>1855</v>
      </c>
      <c r="M31" s="143">
        <f>1367+312</f>
        <v>1679</v>
      </c>
    </row>
    <row r="32" spans="4:13" x14ac:dyDescent="0.25">
      <c r="D32" s="3" t="s">
        <v>129</v>
      </c>
      <c r="E32" s="143">
        <f>1121+2153</f>
        <v>3274</v>
      </c>
      <c r="F32" s="143">
        <f>555+1006</f>
        <v>1561</v>
      </c>
      <c r="G32" s="143">
        <f>566+1147</f>
        <v>1713</v>
      </c>
      <c r="H32" s="143">
        <f>476+1896</f>
        <v>2372</v>
      </c>
      <c r="I32" s="143">
        <f>224+862</f>
        <v>1086</v>
      </c>
      <c r="J32" s="143">
        <f>252+1034</f>
        <v>1286</v>
      </c>
      <c r="K32" s="143">
        <f>645+257</f>
        <v>902</v>
      </c>
      <c r="L32" s="143">
        <f>331+144</f>
        <v>475</v>
      </c>
      <c r="M32" s="143">
        <f>314+113</f>
        <v>427</v>
      </c>
    </row>
    <row r="33" spans="4:13" x14ac:dyDescent="0.25">
      <c r="D33" s="5" t="s">
        <v>27</v>
      </c>
      <c r="E33" s="144">
        <f t="shared" ref="E33:M33" si="2">SUM(E30:E32)</f>
        <v>16096</v>
      </c>
      <c r="F33" s="144">
        <f t="shared" si="2"/>
        <v>8095</v>
      </c>
      <c r="G33" s="144">
        <f t="shared" si="2"/>
        <v>8001</v>
      </c>
      <c r="H33" s="144">
        <f t="shared" si="2"/>
        <v>7807</v>
      </c>
      <c r="I33" s="144">
        <f t="shared" si="2"/>
        <v>3834</v>
      </c>
      <c r="J33" s="144">
        <f t="shared" si="2"/>
        <v>3973</v>
      </c>
      <c r="K33" s="144">
        <f t="shared" si="2"/>
        <v>8289</v>
      </c>
      <c r="L33" s="144">
        <f t="shared" si="2"/>
        <v>4261</v>
      </c>
      <c r="M33" s="144">
        <f t="shared" si="2"/>
        <v>4028</v>
      </c>
    </row>
    <row r="34" spans="4:13" x14ac:dyDescent="0.25">
      <c r="D34" s="102" t="s">
        <v>132</v>
      </c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18">
    <mergeCell ref="D2:M3"/>
    <mergeCell ref="D4:D6"/>
    <mergeCell ref="E4:M4"/>
    <mergeCell ref="E5:G5"/>
    <mergeCell ref="H5:J5"/>
    <mergeCell ref="K5:M5"/>
    <mergeCell ref="D13:M14"/>
    <mergeCell ref="D15:D17"/>
    <mergeCell ref="E15:M15"/>
    <mergeCell ref="E16:G16"/>
    <mergeCell ref="H16:J16"/>
    <mergeCell ref="K16:M16"/>
    <mergeCell ref="D25:M26"/>
    <mergeCell ref="D27:D29"/>
    <mergeCell ref="E27:M27"/>
    <mergeCell ref="E28:G28"/>
    <mergeCell ref="H28:J28"/>
    <mergeCell ref="K28:M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3"/>
  <sheetViews>
    <sheetView workbookViewId="0">
      <selection activeCell="O6" sqref="O6"/>
    </sheetView>
  </sheetViews>
  <sheetFormatPr defaultRowHeight="15" x14ac:dyDescent="0.25"/>
  <cols>
    <col min="2" max="2" width="19.7109375" customWidth="1"/>
    <col min="3" max="5" width="12.140625" customWidth="1"/>
    <col min="6" max="6" width="11.140625" customWidth="1"/>
    <col min="7" max="7" width="8.85546875" customWidth="1"/>
    <col min="8" max="8" width="8.140625" customWidth="1"/>
    <col min="9" max="9" width="10.140625" customWidth="1"/>
    <col min="10" max="10" width="11.140625" customWidth="1"/>
    <col min="11" max="11" width="10.140625" customWidth="1"/>
  </cols>
  <sheetData>
    <row r="3" spans="2:11" ht="16.5" thickBot="1" x14ac:dyDescent="0.3">
      <c r="B3" s="162" t="s">
        <v>29</v>
      </c>
      <c r="C3" s="162"/>
      <c r="D3" s="162"/>
      <c r="E3" s="162"/>
      <c r="F3" s="162"/>
      <c r="G3" s="162"/>
      <c r="H3" s="162"/>
      <c r="I3" s="162"/>
      <c r="J3" s="162"/>
      <c r="K3" s="162"/>
    </row>
    <row r="4" spans="2:11" x14ac:dyDescent="0.25">
      <c r="B4" s="163" t="s">
        <v>9</v>
      </c>
      <c r="C4" s="165" t="s">
        <v>10</v>
      </c>
      <c r="D4" s="167" t="s">
        <v>11</v>
      </c>
      <c r="E4" s="168" t="s">
        <v>12</v>
      </c>
      <c r="F4" s="169"/>
      <c r="G4" s="169"/>
      <c r="H4" s="169"/>
      <c r="I4" s="169"/>
      <c r="J4" s="170"/>
      <c r="K4" s="171" t="s">
        <v>13</v>
      </c>
    </row>
    <row r="5" spans="2:11" ht="43.5" thickBot="1" x14ac:dyDescent="0.3">
      <c r="B5" s="164"/>
      <c r="C5" s="166"/>
      <c r="D5" s="167"/>
      <c r="E5" s="19" t="s">
        <v>14</v>
      </c>
      <c r="F5" s="20" t="s">
        <v>15</v>
      </c>
      <c r="G5" s="17" t="s">
        <v>16</v>
      </c>
      <c r="H5" s="18" t="s">
        <v>17</v>
      </c>
      <c r="I5" s="17" t="s">
        <v>18</v>
      </c>
      <c r="J5" s="18" t="s">
        <v>19</v>
      </c>
      <c r="K5" s="172"/>
    </row>
    <row r="6" spans="2:11" x14ac:dyDescent="0.25">
      <c r="B6" s="7" t="s">
        <v>20</v>
      </c>
      <c r="C6" s="8">
        <v>17921</v>
      </c>
      <c r="D6" s="8">
        <v>17632</v>
      </c>
      <c r="E6" s="8">
        <v>61</v>
      </c>
      <c r="F6" s="8" t="s">
        <v>21</v>
      </c>
      <c r="G6" s="8" t="s">
        <v>21</v>
      </c>
      <c r="H6" s="8">
        <v>59</v>
      </c>
      <c r="I6" s="8" t="s">
        <v>21</v>
      </c>
      <c r="J6" s="8">
        <v>2</v>
      </c>
      <c r="K6" s="8">
        <v>228</v>
      </c>
    </row>
    <row r="7" spans="2:11" x14ac:dyDescent="0.25">
      <c r="B7" s="7" t="s">
        <v>22</v>
      </c>
      <c r="C7" s="8">
        <v>1884</v>
      </c>
      <c r="D7" s="8">
        <v>1875</v>
      </c>
      <c r="E7" s="8" t="s">
        <v>21</v>
      </c>
      <c r="F7" s="8" t="s">
        <v>21</v>
      </c>
      <c r="G7" s="8" t="s">
        <v>21</v>
      </c>
      <c r="H7" s="8" t="s">
        <v>21</v>
      </c>
      <c r="I7" s="8" t="s">
        <v>21</v>
      </c>
      <c r="J7" s="8" t="s">
        <v>21</v>
      </c>
      <c r="K7" s="8">
        <v>9</v>
      </c>
    </row>
    <row r="8" spans="2:11" ht="26.25" customHeight="1" x14ac:dyDescent="0.25">
      <c r="B8" s="7" t="s">
        <v>23</v>
      </c>
      <c r="C8" s="8">
        <v>3587</v>
      </c>
      <c r="D8" s="8">
        <v>3476</v>
      </c>
      <c r="E8" s="8">
        <v>12</v>
      </c>
      <c r="F8" s="8">
        <v>3</v>
      </c>
      <c r="G8" s="8">
        <v>7</v>
      </c>
      <c r="H8" s="8">
        <v>2</v>
      </c>
      <c r="I8" s="8" t="s">
        <v>21</v>
      </c>
      <c r="J8" s="8" t="s">
        <v>21</v>
      </c>
      <c r="K8" s="8">
        <v>99</v>
      </c>
    </row>
    <row r="9" spans="2:11" ht="24.75" customHeight="1" x14ac:dyDescent="0.25">
      <c r="B9" s="7" t="s">
        <v>24</v>
      </c>
      <c r="C9" s="8">
        <v>20546</v>
      </c>
      <c r="D9" s="8">
        <v>20067</v>
      </c>
      <c r="E9" s="8">
        <v>21</v>
      </c>
      <c r="F9" s="8">
        <v>18</v>
      </c>
      <c r="G9" s="8" t="s">
        <v>21</v>
      </c>
      <c r="H9" s="8">
        <v>2</v>
      </c>
      <c r="I9" s="8" t="s">
        <v>21</v>
      </c>
      <c r="J9" s="8">
        <v>1</v>
      </c>
      <c r="K9" s="8">
        <v>458</v>
      </c>
    </row>
    <row r="10" spans="2:11" ht="24.75" customHeight="1" x14ac:dyDescent="0.25">
      <c r="B10" s="7" t="s">
        <v>25</v>
      </c>
      <c r="C10" s="8">
        <v>15494</v>
      </c>
      <c r="D10" s="8">
        <v>15280</v>
      </c>
      <c r="E10" s="8">
        <v>50</v>
      </c>
      <c r="F10" s="8" t="s">
        <v>21</v>
      </c>
      <c r="G10" s="8" t="s">
        <v>21</v>
      </c>
      <c r="H10" s="8">
        <v>50</v>
      </c>
      <c r="I10" s="8" t="s">
        <v>21</v>
      </c>
      <c r="J10" s="8" t="s">
        <v>21</v>
      </c>
      <c r="K10" s="8">
        <v>164</v>
      </c>
    </row>
    <row r="11" spans="2:11" ht="23.25" customHeight="1" x14ac:dyDescent="0.25">
      <c r="B11" s="9" t="s">
        <v>26</v>
      </c>
      <c r="C11" s="10">
        <v>2470</v>
      </c>
      <c r="D11" s="10">
        <v>2367</v>
      </c>
      <c r="E11" s="10">
        <v>4</v>
      </c>
      <c r="F11" s="10" t="s">
        <v>21</v>
      </c>
      <c r="G11" s="10">
        <v>1</v>
      </c>
      <c r="H11" s="10">
        <v>3</v>
      </c>
      <c r="I11" s="10" t="s">
        <v>21</v>
      </c>
      <c r="J11" s="10" t="s">
        <v>21</v>
      </c>
      <c r="K11" s="10">
        <v>99</v>
      </c>
    </row>
    <row r="12" spans="2:11" x14ac:dyDescent="0.25">
      <c r="B12" s="11" t="s">
        <v>27</v>
      </c>
      <c r="C12" s="12">
        <f t="shared" ref="C12:H12" si="0">SUM(C6:C11)</f>
        <v>61902</v>
      </c>
      <c r="D12" s="12">
        <f t="shared" si="0"/>
        <v>60697</v>
      </c>
      <c r="E12" s="12">
        <f t="shared" si="0"/>
        <v>148</v>
      </c>
      <c r="F12" s="12">
        <f t="shared" si="0"/>
        <v>21</v>
      </c>
      <c r="G12" s="12">
        <f t="shared" si="0"/>
        <v>8</v>
      </c>
      <c r="H12" s="12">
        <f t="shared" si="0"/>
        <v>116</v>
      </c>
      <c r="I12" s="13"/>
      <c r="J12" s="12">
        <f>SUM(J6:J11)</f>
        <v>3</v>
      </c>
      <c r="K12" s="12">
        <f>SUM(K6:K11)</f>
        <v>1057</v>
      </c>
    </row>
    <row r="13" spans="2:11" x14ac:dyDescent="0.25">
      <c r="B13" s="14" t="s">
        <v>28</v>
      </c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6">
    <mergeCell ref="B3:K3"/>
    <mergeCell ref="B4:B5"/>
    <mergeCell ref="C4:C5"/>
    <mergeCell ref="D4:D5"/>
    <mergeCell ref="E4:J4"/>
    <mergeCell ref="K4:K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11"/>
  <sheetViews>
    <sheetView workbookViewId="0">
      <selection activeCell="D2" sqref="D2:N3"/>
    </sheetView>
  </sheetViews>
  <sheetFormatPr defaultRowHeight="15" x14ac:dyDescent="0.25"/>
  <sheetData>
    <row r="2" spans="4:14" x14ac:dyDescent="0.25">
      <c r="D2" s="177" t="s">
        <v>133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4:14" x14ac:dyDescent="0.25"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4:14" x14ac:dyDescent="0.25">
      <c r="D4" s="216" t="s">
        <v>42</v>
      </c>
      <c r="E4" s="205" t="s">
        <v>126</v>
      </c>
      <c r="F4" s="205"/>
      <c r="G4" s="205"/>
      <c r="H4" s="205"/>
      <c r="I4" s="205"/>
      <c r="J4" s="205"/>
      <c r="K4" s="205"/>
      <c r="L4" s="205"/>
      <c r="M4" s="205"/>
      <c r="N4" s="205"/>
    </row>
    <row r="5" spans="4:14" x14ac:dyDescent="0.25">
      <c r="D5" s="194"/>
      <c r="E5" s="205" t="s">
        <v>27</v>
      </c>
      <c r="F5" s="205"/>
      <c r="G5" s="205"/>
      <c r="H5" s="205"/>
      <c r="I5" s="205" t="s">
        <v>32</v>
      </c>
      <c r="J5" s="205"/>
      <c r="K5" s="205"/>
      <c r="L5" s="205" t="s">
        <v>33</v>
      </c>
      <c r="M5" s="205"/>
      <c r="N5" s="205"/>
    </row>
    <row r="6" spans="4:14" x14ac:dyDescent="0.25">
      <c r="D6" s="195"/>
      <c r="E6" s="146" t="s">
        <v>27</v>
      </c>
      <c r="F6" s="146" t="s">
        <v>44</v>
      </c>
      <c r="G6" s="146" t="s">
        <v>43</v>
      </c>
      <c r="H6" s="146" t="s">
        <v>45</v>
      </c>
      <c r="I6" s="146" t="s">
        <v>27</v>
      </c>
      <c r="J6" s="146" t="s">
        <v>43</v>
      </c>
      <c r="K6" s="146" t="s">
        <v>45</v>
      </c>
      <c r="L6" s="146" t="s">
        <v>27</v>
      </c>
      <c r="M6" s="146" t="s">
        <v>43</v>
      </c>
      <c r="N6" s="146" t="s">
        <v>45</v>
      </c>
    </row>
    <row r="7" spans="4:14" x14ac:dyDescent="0.25">
      <c r="D7" s="89" t="s">
        <v>134</v>
      </c>
      <c r="E7" s="40">
        <v>21163</v>
      </c>
      <c r="F7" s="147">
        <f>E7/E10</f>
        <v>0.49560900213109765</v>
      </c>
      <c r="G7" s="40">
        <v>10678</v>
      </c>
      <c r="H7" s="40">
        <v>10485</v>
      </c>
      <c r="I7" s="40">
        <v>849</v>
      </c>
      <c r="J7" s="40">
        <v>452</v>
      </c>
      <c r="K7" s="40">
        <v>397</v>
      </c>
      <c r="L7" s="40">
        <v>20314</v>
      </c>
      <c r="M7" s="40">
        <v>10226</v>
      </c>
      <c r="N7" s="40">
        <v>10088</v>
      </c>
    </row>
    <row r="8" spans="4:14" x14ac:dyDescent="0.25">
      <c r="D8" s="89" t="s">
        <v>135</v>
      </c>
      <c r="E8" s="40">
        <v>17817</v>
      </c>
      <c r="F8" s="147">
        <f>E8/E10</f>
        <v>0.4172501814945786</v>
      </c>
      <c r="G8" s="40">
        <v>8880</v>
      </c>
      <c r="H8" s="40">
        <v>8937</v>
      </c>
      <c r="I8" s="40">
        <v>1225</v>
      </c>
      <c r="J8" s="40">
        <v>570</v>
      </c>
      <c r="K8" s="40">
        <v>655</v>
      </c>
      <c r="L8" s="40">
        <v>16592</v>
      </c>
      <c r="M8" s="40">
        <v>8310</v>
      </c>
      <c r="N8" s="40">
        <v>8282</v>
      </c>
    </row>
    <row r="9" spans="4:14" x14ac:dyDescent="0.25">
      <c r="D9" s="90" t="s">
        <v>129</v>
      </c>
      <c r="E9" s="42">
        <v>3721</v>
      </c>
      <c r="F9" s="148">
        <f>E9/E10</f>
        <v>8.714081637432379E-2</v>
      </c>
      <c r="G9" s="42">
        <v>1801</v>
      </c>
      <c r="H9" s="42">
        <v>1920</v>
      </c>
      <c r="I9" s="42">
        <v>345</v>
      </c>
      <c r="J9" s="42">
        <v>152</v>
      </c>
      <c r="K9" s="42">
        <v>193</v>
      </c>
      <c r="L9" s="42">
        <v>3376</v>
      </c>
      <c r="M9" s="42">
        <v>1649</v>
      </c>
      <c r="N9" s="42">
        <v>1727</v>
      </c>
    </row>
    <row r="10" spans="4:14" x14ac:dyDescent="0.25">
      <c r="D10" s="149" t="s">
        <v>27</v>
      </c>
      <c r="E10" s="150">
        <v>42701</v>
      </c>
      <c r="F10" s="151">
        <f>F7+F8+F9</f>
        <v>1</v>
      </c>
      <c r="G10" s="150">
        <v>21359</v>
      </c>
      <c r="H10" s="150">
        <v>21342</v>
      </c>
      <c r="I10" s="150">
        <v>2419</v>
      </c>
      <c r="J10" s="150">
        <v>1174</v>
      </c>
      <c r="K10" s="150">
        <v>1245</v>
      </c>
      <c r="L10" s="150">
        <v>40282</v>
      </c>
      <c r="M10" s="150">
        <v>20185</v>
      </c>
      <c r="N10" s="150">
        <v>20097</v>
      </c>
    </row>
    <row r="11" spans="4:14" x14ac:dyDescent="0.25">
      <c r="D11" s="152" t="s">
        <v>90</v>
      </c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</sheetData>
  <mergeCells count="6">
    <mergeCell ref="D2:N3"/>
    <mergeCell ref="D4:D6"/>
    <mergeCell ref="E4:N4"/>
    <mergeCell ref="E5:H5"/>
    <mergeCell ref="I5:K5"/>
    <mergeCell ref="L5:N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topLeftCell="B13" workbookViewId="0">
      <selection activeCell="B29" sqref="B29"/>
    </sheetView>
  </sheetViews>
  <sheetFormatPr defaultColWidth="11.42578125" defaultRowHeight="15" x14ac:dyDescent="0.25"/>
  <cols>
    <col min="1" max="1" width="21.140625" style="158" customWidth="1"/>
    <col min="2" max="4" width="11.42578125" style="158"/>
    <col min="5" max="5" width="11.42578125" style="112"/>
  </cols>
  <sheetData>
    <row r="3" spans="1:5" ht="15.75" x14ac:dyDescent="0.25">
      <c r="A3" s="154" t="s">
        <v>136</v>
      </c>
      <c r="B3" s="154" t="s">
        <v>137</v>
      </c>
      <c r="C3" s="154" t="s">
        <v>137</v>
      </c>
      <c r="D3" s="154" t="s">
        <v>138</v>
      </c>
      <c r="E3" s="155"/>
    </row>
    <row r="4" spans="1:5" ht="15.75" x14ac:dyDescent="0.25">
      <c r="A4" s="154"/>
      <c r="B4" s="156"/>
      <c r="C4" s="156"/>
      <c r="D4" s="156"/>
    </row>
    <row r="5" spans="1:5" ht="15.75" x14ac:dyDescent="0.25">
      <c r="A5" s="154" t="s">
        <v>139</v>
      </c>
      <c r="B5" s="156">
        <v>4780</v>
      </c>
      <c r="C5" s="156">
        <f t="shared" ref="C5:C19" si="0">B5*-1</f>
        <v>-4780</v>
      </c>
      <c r="D5" s="157">
        <v>4993</v>
      </c>
    </row>
    <row r="6" spans="1:5" ht="15.75" x14ac:dyDescent="0.25">
      <c r="A6" s="154" t="s">
        <v>140</v>
      </c>
      <c r="B6" s="156">
        <v>4775</v>
      </c>
      <c r="C6" s="156">
        <f t="shared" si="0"/>
        <v>-4775</v>
      </c>
      <c r="D6" s="157">
        <v>4920</v>
      </c>
    </row>
    <row r="7" spans="1:5" ht="15.75" x14ac:dyDescent="0.25">
      <c r="A7" s="154" t="s">
        <v>141</v>
      </c>
      <c r="B7" s="156">
        <v>4160</v>
      </c>
      <c r="C7" s="156">
        <f t="shared" si="0"/>
        <v>-4160</v>
      </c>
      <c r="D7" s="157">
        <v>4221</v>
      </c>
    </row>
    <row r="8" spans="1:5" ht="15.75" x14ac:dyDescent="0.25">
      <c r="A8" s="154" t="s">
        <v>142</v>
      </c>
      <c r="B8" s="156">
        <v>3280</v>
      </c>
      <c r="C8" s="156">
        <f t="shared" si="0"/>
        <v>-3280</v>
      </c>
      <c r="D8" s="157">
        <v>3278</v>
      </c>
    </row>
    <row r="9" spans="1:5" ht="15.75" x14ac:dyDescent="0.25">
      <c r="A9" s="154" t="s">
        <v>143</v>
      </c>
      <c r="B9" s="156">
        <v>2639</v>
      </c>
      <c r="C9" s="156">
        <f t="shared" si="0"/>
        <v>-2639</v>
      </c>
      <c r="D9" s="157">
        <v>2634</v>
      </c>
    </row>
    <row r="10" spans="1:5" ht="15.75" x14ac:dyDescent="0.25">
      <c r="A10" s="154" t="s">
        <v>144</v>
      </c>
      <c r="B10" s="156">
        <v>2269</v>
      </c>
      <c r="C10" s="156">
        <f t="shared" si="0"/>
        <v>-2269</v>
      </c>
      <c r="D10" s="157">
        <v>2249</v>
      </c>
    </row>
    <row r="11" spans="1:5" ht="15.75" x14ac:dyDescent="0.25">
      <c r="A11" s="154" t="s">
        <v>145</v>
      </c>
      <c r="B11" s="156">
        <v>1854</v>
      </c>
      <c r="C11" s="156">
        <f t="shared" si="0"/>
        <v>-1854</v>
      </c>
      <c r="D11" s="157">
        <v>1950</v>
      </c>
    </row>
    <row r="12" spans="1:5" ht="15.75" x14ac:dyDescent="0.25">
      <c r="A12" s="154" t="s">
        <v>146</v>
      </c>
      <c r="B12" s="156">
        <v>1512</v>
      </c>
      <c r="C12" s="156">
        <f t="shared" si="0"/>
        <v>-1512</v>
      </c>
      <c r="D12" s="157">
        <v>1669</v>
      </c>
    </row>
    <row r="13" spans="1:5" ht="15.75" x14ac:dyDescent="0.25">
      <c r="A13" s="154" t="s">
        <v>147</v>
      </c>
      <c r="B13" s="156">
        <v>1233</v>
      </c>
      <c r="C13" s="156">
        <f t="shared" si="0"/>
        <v>-1233</v>
      </c>
      <c r="D13" s="157">
        <v>1291</v>
      </c>
    </row>
    <row r="14" spans="1:5" ht="15.75" x14ac:dyDescent="0.25">
      <c r="A14" s="154" t="s">
        <v>148</v>
      </c>
      <c r="B14" s="156">
        <v>1014</v>
      </c>
      <c r="C14" s="156">
        <f t="shared" si="0"/>
        <v>-1014</v>
      </c>
      <c r="D14" s="157">
        <v>1130</v>
      </c>
    </row>
    <row r="15" spans="1:5" ht="15.75" x14ac:dyDescent="0.25">
      <c r="A15" s="154" t="s">
        <v>149</v>
      </c>
      <c r="B15" s="156">
        <v>871</v>
      </c>
      <c r="C15" s="156">
        <f t="shared" si="0"/>
        <v>-871</v>
      </c>
      <c r="D15" s="157">
        <v>902</v>
      </c>
    </row>
    <row r="16" spans="1:5" ht="15.75" x14ac:dyDescent="0.25">
      <c r="A16" s="154" t="s">
        <v>150</v>
      </c>
      <c r="B16" s="156">
        <v>801</v>
      </c>
      <c r="C16" s="156">
        <f t="shared" si="0"/>
        <v>-801</v>
      </c>
      <c r="D16" s="157">
        <v>741</v>
      </c>
      <c r="E16"/>
    </row>
    <row r="17" spans="1:5" ht="15.75" x14ac:dyDescent="0.25">
      <c r="A17" s="154" t="s">
        <v>151</v>
      </c>
      <c r="B17" s="156">
        <v>651</v>
      </c>
      <c r="C17" s="156">
        <f t="shared" si="0"/>
        <v>-651</v>
      </c>
      <c r="D17" s="157">
        <v>549</v>
      </c>
      <c r="E17"/>
    </row>
    <row r="18" spans="1:5" ht="15.75" x14ac:dyDescent="0.25">
      <c r="A18" s="154" t="s">
        <v>152</v>
      </c>
      <c r="B18" s="156">
        <v>650</v>
      </c>
      <c r="C18" s="156">
        <f t="shared" si="0"/>
        <v>-650</v>
      </c>
      <c r="D18" s="157">
        <v>548</v>
      </c>
      <c r="E18"/>
    </row>
    <row r="19" spans="1:5" ht="15.75" x14ac:dyDescent="0.25">
      <c r="A19" s="154" t="s">
        <v>153</v>
      </c>
      <c r="B19" s="156">
        <v>1206</v>
      </c>
      <c r="C19" s="156">
        <f t="shared" si="0"/>
        <v>-1206</v>
      </c>
      <c r="D19" s="156">
        <v>1091</v>
      </c>
      <c r="E19"/>
    </row>
    <row r="20" spans="1:5" x14ac:dyDescent="0.25">
      <c r="B20" s="158">
        <f>SUM(B5:B19)</f>
        <v>31695</v>
      </c>
      <c r="D20" s="158">
        <f>SUM(D5:D19)</f>
        <v>32166</v>
      </c>
      <c r="E20"/>
    </row>
    <row r="32" spans="1:5" x14ac:dyDescent="0.25">
      <c r="E32"/>
    </row>
    <row r="34" spans="5:5" x14ac:dyDescent="0.25">
      <c r="E34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workbookViewId="0">
      <selection activeCell="B19" sqref="B19"/>
    </sheetView>
  </sheetViews>
  <sheetFormatPr defaultColWidth="11.42578125" defaultRowHeight="15" x14ac:dyDescent="0.25"/>
  <cols>
    <col min="1" max="1" width="21.140625" style="158" customWidth="1"/>
    <col min="2" max="4" width="11.42578125" style="158"/>
    <col min="5" max="5" width="11.42578125" style="112"/>
  </cols>
  <sheetData>
    <row r="3" spans="1:5" ht="15.75" x14ac:dyDescent="0.25">
      <c r="A3" s="154" t="s">
        <v>136</v>
      </c>
      <c r="B3" s="154" t="s">
        <v>137</v>
      </c>
      <c r="C3" s="154" t="s">
        <v>137</v>
      </c>
      <c r="D3" s="154" t="s">
        <v>138</v>
      </c>
      <c r="E3" s="155"/>
    </row>
    <row r="4" spans="1:5" ht="15.75" x14ac:dyDescent="0.25">
      <c r="A4" s="154" t="s">
        <v>139</v>
      </c>
      <c r="B4" s="156">
        <v>502</v>
      </c>
      <c r="C4" s="156">
        <f t="shared" ref="C4:C18" si="0">B4*-1</f>
        <v>-502</v>
      </c>
      <c r="D4" s="268">
        <f>138+82+197+70+47+16+26</f>
        <v>576</v>
      </c>
    </row>
    <row r="5" spans="1:5" ht="15.75" x14ac:dyDescent="0.25">
      <c r="A5" s="154" t="s">
        <v>140</v>
      </c>
      <c r="B5" s="156">
        <v>563</v>
      </c>
      <c r="C5" s="156">
        <f t="shared" si="0"/>
        <v>-563</v>
      </c>
      <c r="D5" s="268">
        <f>152+78+181+79+54+25+20</f>
        <v>589</v>
      </c>
    </row>
    <row r="6" spans="1:5" ht="15.75" x14ac:dyDescent="0.25">
      <c r="A6" s="154" t="s">
        <v>141</v>
      </c>
      <c r="B6" s="156">
        <v>595</v>
      </c>
      <c r="C6" s="156">
        <f t="shared" si="0"/>
        <v>-595</v>
      </c>
      <c r="D6" s="268">
        <f>162+84+186+85+53+36+21</f>
        <v>627</v>
      </c>
    </row>
    <row r="7" spans="1:5" ht="15.75" x14ac:dyDescent="0.25">
      <c r="A7" s="154" t="s">
        <v>142</v>
      </c>
      <c r="B7" s="156">
        <v>600</v>
      </c>
      <c r="C7" s="156">
        <f t="shared" si="0"/>
        <v>-600</v>
      </c>
      <c r="D7" s="268">
        <v>576</v>
      </c>
    </row>
    <row r="8" spans="1:5" ht="15.75" x14ac:dyDescent="0.25">
      <c r="A8" s="154" t="s">
        <v>143</v>
      </c>
      <c r="B8" s="156">
        <v>548</v>
      </c>
      <c r="C8" s="156">
        <f t="shared" si="0"/>
        <v>-548</v>
      </c>
      <c r="D8" s="268">
        <f>100+111+148+101+56+25+24</f>
        <v>565</v>
      </c>
    </row>
    <row r="9" spans="1:5" ht="15.75" x14ac:dyDescent="0.25">
      <c r="A9" s="154" t="s">
        <v>144</v>
      </c>
      <c r="B9" s="156">
        <v>532</v>
      </c>
      <c r="C9" s="156">
        <f t="shared" si="0"/>
        <v>-532</v>
      </c>
      <c r="D9" s="268">
        <f>81+111+161+110+35+35+21</f>
        <v>554</v>
      </c>
    </row>
    <row r="10" spans="1:5" ht="15.75" x14ac:dyDescent="0.25">
      <c r="A10" s="154" t="s">
        <v>145</v>
      </c>
      <c r="B10" s="156">
        <v>520</v>
      </c>
      <c r="C10" s="156">
        <f t="shared" si="0"/>
        <v>-520</v>
      </c>
      <c r="D10" s="268">
        <f>80+114+154+112+39+44+26</f>
        <v>569</v>
      </c>
    </row>
    <row r="11" spans="1:5" ht="15.75" x14ac:dyDescent="0.25">
      <c r="A11" s="154" t="s">
        <v>146</v>
      </c>
      <c r="B11" s="156">
        <v>508</v>
      </c>
      <c r="C11" s="156">
        <f t="shared" si="0"/>
        <v>-508</v>
      </c>
      <c r="D11" s="268">
        <f>56+103+155+114+35+35+22</f>
        <v>520</v>
      </c>
    </row>
    <row r="12" spans="1:5" ht="15.75" x14ac:dyDescent="0.25">
      <c r="A12" s="154" t="s">
        <v>147</v>
      </c>
      <c r="B12" s="156">
        <v>528</v>
      </c>
      <c r="C12" s="156">
        <f t="shared" si="0"/>
        <v>-528</v>
      </c>
      <c r="D12" s="268">
        <f>72+104+140+107+51+45+25</f>
        <v>544</v>
      </c>
    </row>
    <row r="13" spans="1:5" ht="15.75" x14ac:dyDescent="0.25">
      <c r="A13" s="154" t="s">
        <v>148</v>
      </c>
      <c r="B13" s="156">
        <v>490</v>
      </c>
      <c r="C13" s="156">
        <f t="shared" si="0"/>
        <v>-490</v>
      </c>
      <c r="D13" s="268">
        <f>53+92+149+114+38+43+24</f>
        <v>513</v>
      </c>
    </row>
    <row r="14" spans="1:5" ht="15.75" x14ac:dyDescent="0.25">
      <c r="A14" s="154" t="s">
        <v>149</v>
      </c>
      <c r="B14" s="156">
        <v>471</v>
      </c>
      <c r="C14" s="156">
        <f t="shared" si="0"/>
        <v>-471</v>
      </c>
      <c r="D14" s="268">
        <f>49+93+120+101+41+42+17</f>
        <v>463</v>
      </c>
    </row>
    <row r="15" spans="1:5" s="112" customFormat="1" ht="15.75" x14ac:dyDescent="0.25">
      <c r="A15" s="154" t="s">
        <v>150</v>
      </c>
      <c r="B15" s="156">
        <v>446</v>
      </c>
      <c r="C15" s="156">
        <f t="shared" si="0"/>
        <v>-446</v>
      </c>
      <c r="D15" s="268">
        <f>23+80+99+107+32+26+11</f>
        <v>378</v>
      </c>
    </row>
    <row r="16" spans="1:5" s="112" customFormat="1" ht="15.75" x14ac:dyDescent="0.25">
      <c r="A16" s="154" t="s">
        <v>151</v>
      </c>
      <c r="B16" s="156">
        <v>293</v>
      </c>
      <c r="C16" s="156">
        <f t="shared" si="0"/>
        <v>-293</v>
      </c>
      <c r="D16" s="157">
        <v>236</v>
      </c>
    </row>
    <row r="17" spans="1:5" s="112" customFormat="1" ht="15.75" x14ac:dyDescent="0.25">
      <c r="A17" s="154" t="s">
        <v>152</v>
      </c>
      <c r="B17" s="156">
        <v>292</v>
      </c>
      <c r="C17" s="156">
        <f t="shared" si="0"/>
        <v>-292</v>
      </c>
      <c r="D17" s="157">
        <v>235</v>
      </c>
    </row>
    <row r="18" spans="1:5" s="112" customFormat="1" ht="15.75" x14ac:dyDescent="0.25">
      <c r="A18" s="154" t="s">
        <v>153</v>
      </c>
      <c r="B18" s="156">
        <v>470</v>
      </c>
      <c r="C18" s="156">
        <f t="shared" si="0"/>
        <v>-470</v>
      </c>
      <c r="D18" s="156">
        <v>323</v>
      </c>
    </row>
    <row r="19" spans="1:5" s="112" customFormat="1" ht="15.75" x14ac:dyDescent="0.25">
      <c r="A19" s="269"/>
      <c r="B19" s="269">
        <f>SUM(B4:B18)</f>
        <v>7358</v>
      </c>
      <c r="C19" s="269"/>
      <c r="D19" s="269">
        <f>SUM(D4:D18)</f>
        <v>7268</v>
      </c>
    </row>
    <row r="20" spans="1:5" s="112" customFormat="1" ht="15.75" x14ac:dyDescent="0.25">
      <c r="A20" s="270"/>
      <c r="B20" s="158"/>
      <c r="C20" s="158"/>
      <c r="D20" s="158"/>
    </row>
    <row r="21" spans="1:5" s="112" customFormat="1" x14ac:dyDescent="0.25">
      <c r="A21" s="271"/>
      <c r="B21" s="271"/>
      <c r="C21" s="158"/>
      <c r="D21" s="158"/>
    </row>
    <row r="22" spans="1:5" s="112" customFormat="1" x14ac:dyDescent="0.25">
      <c r="A22" s="271"/>
      <c r="B22" s="271"/>
      <c r="C22" s="158"/>
      <c r="D22" s="158"/>
    </row>
    <row r="23" spans="1:5" s="112" customFormat="1" x14ac:dyDescent="0.25">
      <c r="A23" s="271"/>
      <c r="B23" s="271"/>
      <c r="C23" s="158"/>
      <c r="D23" s="158"/>
    </row>
    <row r="24" spans="1:5" s="112" customFormat="1" x14ac:dyDescent="0.25">
      <c r="A24" s="272"/>
      <c r="B24" s="272"/>
      <c r="C24" s="158"/>
      <c r="D24" s="158"/>
    </row>
    <row r="25" spans="1:5" s="112" customFormat="1" x14ac:dyDescent="0.25">
      <c r="A25" s="272"/>
      <c r="B25" s="272"/>
      <c r="C25" s="158"/>
      <c r="D25" s="158"/>
    </row>
    <row r="26" spans="1:5" s="112" customFormat="1" x14ac:dyDescent="0.25">
      <c r="A26" s="271"/>
      <c r="B26" s="271"/>
      <c r="C26" s="158"/>
      <c r="D26" s="158"/>
    </row>
    <row r="27" spans="1:5" s="112" customFormat="1" x14ac:dyDescent="0.25">
      <c r="A27" s="271"/>
      <c r="B27" s="271"/>
      <c r="C27" s="158"/>
      <c r="D27" s="158"/>
    </row>
    <row r="28" spans="1:5" s="112" customFormat="1" x14ac:dyDescent="0.25">
      <c r="A28" s="271"/>
      <c r="B28" s="271"/>
      <c r="C28" s="158"/>
      <c r="D28" s="158"/>
    </row>
    <row r="29" spans="1:5" s="112" customFormat="1" x14ac:dyDescent="0.25">
      <c r="A29" s="271"/>
      <c r="B29" s="271"/>
      <c r="C29" s="158"/>
      <c r="D29" s="158"/>
    </row>
    <row r="30" spans="1:5" s="112" customFormat="1" x14ac:dyDescent="0.25">
      <c r="A30" s="271"/>
      <c r="B30" s="271"/>
      <c r="C30" s="158"/>
      <c r="D30" s="158"/>
    </row>
    <row r="31" spans="1:5" x14ac:dyDescent="0.25">
      <c r="A31" s="271"/>
      <c r="B31" s="271"/>
      <c r="E31"/>
    </row>
    <row r="32" spans="1:5" x14ac:dyDescent="0.25">
      <c r="A32" s="271"/>
      <c r="B32" s="271"/>
      <c r="E32"/>
    </row>
    <row r="33" spans="1:5" x14ac:dyDescent="0.25">
      <c r="A33" s="271"/>
      <c r="B33" s="271"/>
      <c r="E33"/>
    </row>
    <row r="34" spans="1:5" x14ac:dyDescent="0.25">
      <c r="A34" s="271"/>
      <c r="B34" s="271"/>
      <c r="E34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O12" sqref="O12"/>
    </sheetView>
  </sheetViews>
  <sheetFormatPr defaultColWidth="11.42578125" defaultRowHeight="15" x14ac:dyDescent="0.25"/>
  <cols>
    <col min="1" max="1" width="21.140625" customWidth="1"/>
    <col min="5" max="5" width="11.42578125" style="112"/>
  </cols>
  <sheetData>
    <row r="1" spans="1:5" ht="15.75" x14ac:dyDescent="0.25">
      <c r="A1" s="273" t="s">
        <v>136</v>
      </c>
      <c r="B1" s="273" t="s">
        <v>137</v>
      </c>
      <c r="C1" s="273" t="s">
        <v>137</v>
      </c>
      <c r="D1" s="273" t="s">
        <v>138</v>
      </c>
      <c r="E1" s="155"/>
    </row>
    <row r="2" spans="1:5" ht="15.75" x14ac:dyDescent="0.25">
      <c r="A2" s="273"/>
      <c r="B2" s="274"/>
      <c r="C2" s="274"/>
      <c r="D2" s="274"/>
    </row>
    <row r="3" spans="1:5" ht="15.75" x14ac:dyDescent="0.25">
      <c r="A3" s="273" t="s">
        <v>139</v>
      </c>
      <c r="B3" s="274">
        <v>4278</v>
      </c>
      <c r="C3" s="274">
        <f t="shared" ref="C3:C17" si="0">B3*-1</f>
        <v>-4278</v>
      </c>
      <c r="D3" s="275">
        <f>3683+266+189+156+63+49+11</f>
        <v>4417</v>
      </c>
    </row>
    <row r="4" spans="1:5" ht="15.75" x14ac:dyDescent="0.25">
      <c r="A4" s="273" t="s">
        <v>140</v>
      </c>
      <c r="B4" s="274">
        <v>4212</v>
      </c>
      <c r="C4" s="274">
        <f t="shared" si="0"/>
        <v>-4212</v>
      </c>
      <c r="D4" s="275">
        <f>3603+241+181+169+78+49+10</f>
        <v>4331</v>
      </c>
    </row>
    <row r="5" spans="1:5" ht="15.75" x14ac:dyDescent="0.25">
      <c r="A5" s="273" t="s">
        <v>141</v>
      </c>
      <c r="B5" s="274">
        <v>3565</v>
      </c>
      <c r="C5" s="274">
        <f t="shared" si="0"/>
        <v>-3565</v>
      </c>
      <c r="D5" s="275">
        <f>2940+245+146+155+74+29+5</f>
        <v>3594</v>
      </c>
    </row>
    <row r="6" spans="1:5" ht="15.75" x14ac:dyDescent="0.25">
      <c r="A6" s="273" t="s">
        <v>142</v>
      </c>
      <c r="B6" s="274">
        <v>2680</v>
      </c>
      <c r="C6" s="274">
        <f t="shared" si="0"/>
        <v>-2680</v>
      </c>
      <c r="D6" s="275">
        <v>2702</v>
      </c>
    </row>
    <row r="7" spans="1:5" ht="15.75" x14ac:dyDescent="0.25">
      <c r="A7" s="273" t="s">
        <v>143</v>
      </c>
      <c r="B7" s="274">
        <v>2091</v>
      </c>
      <c r="C7" s="274">
        <f t="shared" si="0"/>
        <v>-2091</v>
      </c>
      <c r="D7" s="275">
        <f>1657+147+110+84+46+20+5</f>
        <v>2069</v>
      </c>
    </row>
    <row r="8" spans="1:5" ht="15.75" x14ac:dyDescent="0.25">
      <c r="A8" s="273" t="s">
        <v>144</v>
      </c>
      <c r="B8" s="274">
        <v>1737</v>
      </c>
      <c r="C8" s="274">
        <f t="shared" si="0"/>
        <v>-1737</v>
      </c>
      <c r="D8" s="275">
        <f>1372+117+87+64+37+16+2</f>
        <v>1695</v>
      </c>
    </row>
    <row r="9" spans="1:5" ht="15.75" x14ac:dyDescent="0.25">
      <c r="A9" s="273" t="s">
        <v>145</v>
      </c>
      <c r="B9" s="274">
        <v>1334</v>
      </c>
      <c r="C9" s="274">
        <f t="shared" si="0"/>
        <v>-1334</v>
      </c>
      <c r="D9" s="275">
        <f>1122+94+48+65+28+19+5</f>
        <v>1381</v>
      </c>
    </row>
    <row r="10" spans="1:5" ht="15.75" x14ac:dyDescent="0.25">
      <c r="A10" s="273" t="s">
        <v>146</v>
      </c>
      <c r="B10" s="274">
        <v>1004</v>
      </c>
      <c r="C10" s="274">
        <f t="shared" si="0"/>
        <v>-1004</v>
      </c>
      <c r="D10" s="275">
        <f>929+91+42+54+23+7+3</f>
        <v>1149</v>
      </c>
    </row>
    <row r="11" spans="1:5" ht="15.75" x14ac:dyDescent="0.25">
      <c r="A11" s="273" t="s">
        <v>147</v>
      </c>
      <c r="B11" s="274">
        <v>705</v>
      </c>
      <c r="C11" s="274">
        <f t="shared" si="0"/>
        <v>-705</v>
      </c>
      <c r="D11" s="275">
        <f>606+59+27+35+15+4+1</f>
        <v>747</v>
      </c>
    </row>
    <row r="12" spans="1:5" ht="15.75" x14ac:dyDescent="0.25">
      <c r="A12" s="273" t="s">
        <v>148</v>
      </c>
      <c r="B12" s="274">
        <v>524</v>
      </c>
      <c r="C12" s="274">
        <f t="shared" si="0"/>
        <v>-524</v>
      </c>
      <c r="D12" s="275">
        <f>471+58+26+36+19+6+1</f>
        <v>617</v>
      </c>
    </row>
    <row r="13" spans="1:5" ht="15.75" x14ac:dyDescent="0.25">
      <c r="A13" s="273" t="s">
        <v>149</v>
      </c>
      <c r="B13" s="274">
        <v>400</v>
      </c>
      <c r="C13" s="274">
        <f t="shared" si="0"/>
        <v>-400</v>
      </c>
      <c r="D13" s="275">
        <f>325+49+21+28+9+4+3</f>
        <v>439</v>
      </c>
    </row>
    <row r="14" spans="1:5" s="112" customFormat="1" ht="15.75" x14ac:dyDescent="0.25">
      <c r="A14" s="273" t="s">
        <v>150</v>
      </c>
      <c r="B14" s="274">
        <v>355</v>
      </c>
      <c r="C14" s="274">
        <f t="shared" si="0"/>
        <v>-355</v>
      </c>
      <c r="D14" s="275">
        <f>260+38+14+38+8+4+1</f>
        <v>363</v>
      </c>
    </row>
    <row r="15" spans="1:5" s="112" customFormat="1" ht="15.75" x14ac:dyDescent="0.25">
      <c r="A15" s="273" t="s">
        <v>151</v>
      </c>
      <c r="B15" s="274">
        <v>358</v>
      </c>
      <c r="C15" s="274">
        <f t="shared" si="0"/>
        <v>-358</v>
      </c>
      <c r="D15" s="276">
        <v>313</v>
      </c>
    </row>
    <row r="16" spans="1:5" s="112" customFormat="1" ht="15.75" x14ac:dyDescent="0.25">
      <c r="A16" s="273" t="s">
        <v>152</v>
      </c>
      <c r="B16" s="274">
        <v>358</v>
      </c>
      <c r="C16" s="274">
        <f t="shared" si="0"/>
        <v>-358</v>
      </c>
      <c r="D16" s="276">
        <v>313</v>
      </c>
    </row>
    <row r="17" spans="1:5" s="112" customFormat="1" ht="15.75" x14ac:dyDescent="0.25">
      <c r="A17" s="273" t="s">
        <v>153</v>
      </c>
      <c r="B17" s="274">
        <v>736</v>
      </c>
      <c r="C17" s="274">
        <f t="shared" si="0"/>
        <v>-736</v>
      </c>
      <c r="D17" s="274">
        <v>768</v>
      </c>
    </row>
    <row r="18" spans="1:5" s="112" customFormat="1" x14ac:dyDescent="0.25">
      <c r="A18"/>
      <c r="B18">
        <f>SUM(B3:B17)</f>
        <v>24337</v>
      </c>
      <c r="C18"/>
      <c r="D18">
        <f>SUM(D3:D17)</f>
        <v>24898</v>
      </c>
    </row>
    <row r="19" spans="1:5" ht="15.75" x14ac:dyDescent="0.25">
      <c r="A19" s="277"/>
      <c r="E19"/>
    </row>
    <row r="20" spans="1:5" x14ac:dyDescent="0.25">
      <c r="A20" s="278"/>
      <c r="E20"/>
    </row>
    <row r="21" spans="1:5" x14ac:dyDescent="0.25">
      <c r="A21" s="278"/>
      <c r="E21"/>
    </row>
    <row r="22" spans="1:5" x14ac:dyDescent="0.25">
      <c r="A22" s="278"/>
      <c r="E22"/>
    </row>
    <row r="23" spans="1:5" x14ac:dyDescent="0.25">
      <c r="A23" s="279"/>
      <c r="B23" s="280"/>
      <c r="E23"/>
    </row>
    <row r="24" spans="1:5" x14ac:dyDescent="0.25">
      <c r="A24" s="279"/>
      <c r="B24" s="280"/>
      <c r="E24"/>
    </row>
    <row r="25" spans="1:5" x14ac:dyDescent="0.25">
      <c r="A25" s="278"/>
      <c r="E25"/>
    </row>
    <row r="26" spans="1:5" x14ac:dyDescent="0.25">
      <c r="A26" s="278"/>
      <c r="E26"/>
    </row>
    <row r="27" spans="1:5" x14ac:dyDescent="0.25">
      <c r="A27" s="278"/>
      <c r="E27"/>
    </row>
    <row r="28" spans="1:5" x14ac:dyDescent="0.25">
      <c r="A28" s="278"/>
      <c r="E28"/>
    </row>
    <row r="29" spans="1:5" x14ac:dyDescent="0.25">
      <c r="A29" s="278"/>
      <c r="E29"/>
    </row>
    <row r="30" spans="1:5" x14ac:dyDescent="0.25">
      <c r="A30" s="278"/>
      <c r="C30" s="158"/>
      <c r="E30"/>
    </row>
    <row r="31" spans="1:5" x14ac:dyDescent="0.25">
      <c r="A31" s="278"/>
      <c r="E31"/>
    </row>
    <row r="32" spans="1:5" x14ac:dyDescent="0.25">
      <c r="A32" s="278"/>
      <c r="C32" s="158"/>
      <c r="E32"/>
    </row>
    <row r="33" spans="1:5" x14ac:dyDescent="0.25">
      <c r="A33" s="278"/>
      <c r="E33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C3" sqref="C3:L3"/>
    </sheetView>
  </sheetViews>
  <sheetFormatPr defaultRowHeight="15" x14ac:dyDescent="0.25"/>
  <cols>
    <col min="3" max="3" width="20" customWidth="1"/>
    <col min="6" max="6" width="10.42578125" customWidth="1"/>
    <col min="9" max="9" width="10.140625" customWidth="1"/>
    <col min="10" max="10" width="8" customWidth="1"/>
    <col min="12" max="12" width="10" customWidth="1"/>
  </cols>
  <sheetData>
    <row r="3" spans="3:12" ht="15.75" x14ac:dyDescent="0.25">
      <c r="C3" s="162" t="s">
        <v>225</v>
      </c>
      <c r="D3" s="162"/>
      <c r="E3" s="162"/>
      <c r="F3" s="162"/>
      <c r="G3" s="162"/>
      <c r="H3" s="162"/>
      <c r="I3" s="162"/>
      <c r="J3" s="162"/>
      <c r="K3" s="162"/>
      <c r="L3" s="162"/>
    </row>
    <row r="4" spans="3:12" x14ac:dyDescent="0.25">
      <c r="C4" s="173" t="s">
        <v>30</v>
      </c>
      <c r="D4" s="173" t="s">
        <v>27</v>
      </c>
      <c r="E4" s="173"/>
      <c r="F4" s="173"/>
      <c r="G4" s="173" t="s">
        <v>31</v>
      </c>
      <c r="H4" s="173"/>
      <c r="I4" s="173"/>
      <c r="J4" s="173"/>
      <c r="K4" s="173"/>
      <c r="L4" s="173"/>
    </row>
    <row r="5" spans="3:12" x14ac:dyDescent="0.25">
      <c r="C5" s="173"/>
      <c r="D5" s="173"/>
      <c r="E5" s="173"/>
      <c r="F5" s="173"/>
      <c r="G5" s="173" t="s">
        <v>32</v>
      </c>
      <c r="H5" s="173"/>
      <c r="I5" s="173"/>
      <c r="J5" s="173" t="s">
        <v>33</v>
      </c>
      <c r="K5" s="173"/>
      <c r="L5" s="173"/>
    </row>
    <row r="6" spans="3:12" ht="28.5" x14ac:dyDescent="0.25">
      <c r="C6" s="173"/>
      <c r="D6" s="27" t="s">
        <v>27</v>
      </c>
      <c r="E6" s="27" t="s">
        <v>34</v>
      </c>
      <c r="F6" s="27" t="s">
        <v>35</v>
      </c>
      <c r="G6" s="21" t="s">
        <v>27</v>
      </c>
      <c r="H6" s="27" t="s">
        <v>34</v>
      </c>
      <c r="I6" s="21" t="s">
        <v>35</v>
      </c>
      <c r="J6" s="27" t="s">
        <v>27</v>
      </c>
      <c r="K6" s="21" t="s">
        <v>34</v>
      </c>
      <c r="L6" s="27" t="s">
        <v>35</v>
      </c>
    </row>
    <row r="7" spans="3:12" ht="30" customHeight="1" x14ac:dyDescent="0.25">
      <c r="C7" s="22" t="s">
        <v>23</v>
      </c>
      <c r="D7" s="23">
        <v>3587</v>
      </c>
      <c r="E7" s="23">
        <v>1828</v>
      </c>
      <c r="F7" s="23">
        <v>1759</v>
      </c>
      <c r="G7" s="23">
        <v>2314</v>
      </c>
      <c r="H7" s="23">
        <v>1156</v>
      </c>
      <c r="I7" s="23">
        <v>1158</v>
      </c>
      <c r="J7" s="23">
        <v>1273</v>
      </c>
      <c r="K7" s="23">
        <v>672</v>
      </c>
      <c r="L7" s="23">
        <v>601</v>
      </c>
    </row>
    <row r="8" spans="3:12" x14ac:dyDescent="0.25">
      <c r="C8" s="22" t="s">
        <v>22</v>
      </c>
      <c r="D8" s="23">
        <v>1884</v>
      </c>
      <c r="E8" s="23">
        <v>1001</v>
      </c>
      <c r="F8" s="23">
        <v>883</v>
      </c>
      <c r="G8" s="23">
        <v>67</v>
      </c>
      <c r="H8" s="23">
        <v>37</v>
      </c>
      <c r="I8" s="23">
        <v>30</v>
      </c>
      <c r="J8" s="23">
        <v>1817</v>
      </c>
      <c r="K8" s="23">
        <v>964</v>
      </c>
      <c r="L8" s="23">
        <v>853</v>
      </c>
    </row>
    <row r="9" spans="3:12" ht="15" customHeight="1" x14ac:dyDescent="0.25">
      <c r="C9" s="22" t="s">
        <v>20</v>
      </c>
      <c r="D9" s="23">
        <v>17921</v>
      </c>
      <c r="E9" s="23">
        <v>9296</v>
      </c>
      <c r="F9" s="23">
        <v>8625</v>
      </c>
      <c r="G9" s="23">
        <v>706</v>
      </c>
      <c r="H9" s="23">
        <v>356</v>
      </c>
      <c r="I9" s="23">
        <v>350</v>
      </c>
      <c r="J9" s="23">
        <v>17215</v>
      </c>
      <c r="K9" s="23">
        <v>8940</v>
      </c>
      <c r="L9" s="23">
        <v>8275</v>
      </c>
    </row>
    <row r="10" spans="3:12" ht="22.5" customHeight="1" x14ac:dyDescent="0.25">
      <c r="C10" s="22" t="s">
        <v>24</v>
      </c>
      <c r="D10" s="23">
        <v>20546</v>
      </c>
      <c r="E10" s="23">
        <v>10676</v>
      </c>
      <c r="F10" s="23">
        <v>9870</v>
      </c>
      <c r="G10" s="23">
        <v>470</v>
      </c>
      <c r="H10" s="23">
        <v>266</v>
      </c>
      <c r="I10" s="23">
        <v>204</v>
      </c>
      <c r="J10" s="23">
        <v>20076</v>
      </c>
      <c r="K10" s="23">
        <v>10410</v>
      </c>
      <c r="L10" s="23">
        <v>9666</v>
      </c>
    </row>
    <row r="11" spans="3:12" ht="18.75" customHeight="1" x14ac:dyDescent="0.25">
      <c r="C11" s="22" t="s">
        <v>25</v>
      </c>
      <c r="D11" s="23">
        <v>15494</v>
      </c>
      <c r="E11" s="23">
        <v>7834</v>
      </c>
      <c r="F11" s="23">
        <v>7660</v>
      </c>
      <c r="G11" s="23" t="s">
        <v>21</v>
      </c>
      <c r="H11" s="23" t="s">
        <v>21</v>
      </c>
      <c r="I11" s="23" t="s">
        <v>21</v>
      </c>
      <c r="J11" s="23">
        <v>15494</v>
      </c>
      <c r="K11" s="23">
        <v>7834</v>
      </c>
      <c r="L11" s="23">
        <v>7660</v>
      </c>
    </row>
    <row r="12" spans="3:12" ht="17.25" customHeight="1" x14ac:dyDescent="0.25">
      <c r="C12" s="30" t="s">
        <v>26</v>
      </c>
      <c r="D12" s="31">
        <v>2470</v>
      </c>
      <c r="E12" s="31">
        <v>1254</v>
      </c>
      <c r="F12" s="31">
        <v>1216</v>
      </c>
      <c r="G12" s="31">
        <v>186</v>
      </c>
      <c r="H12" s="31">
        <v>93</v>
      </c>
      <c r="I12" s="31">
        <v>93</v>
      </c>
      <c r="J12" s="31">
        <v>2284</v>
      </c>
      <c r="K12" s="31">
        <v>1161</v>
      </c>
      <c r="L12" s="31">
        <v>1123</v>
      </c>
    </row>
    <row r="13" spans="3:12" x14ac:dyDescent="0.25">
      <c r="C13" s="28" t="s">
        <v>27</v>
      </c>
      <c r="D13" s="29">
        <f t="shared" ref="D13:L13" si="0">SUM(D7:D12)</f>
        <v>61902</v>
      </c>
      <c r="E13" s="29">
        <f t="shared" si="0"/>
        <v>31889</v>
      </c>
      <c r="F13" s="29">
        <f t="shared" si="0"/>
        <v>30013</v>
      </c>
      <c r="G13" s="29">
        <f t="shared" si="0"/>
        <v>3743</v>
      </c>
      <c r="H13" s="29">
        <f t="shared" si="0"/>
        <v>1908</v>
      </c>
      <c r="I13" s="29">
        <f t="shared" si="0"/>
        <v>1835</v>
      </c>
      <c r="J13" s="29">
        <f t="shared" si="0"/>
        <v>58159</v>
      </c>
      <c r="K13" s="29">
        <f t="shared" si="0"/>
        <v>29981</v>
      </c>
      <c r="L13" s="29">
        <f t="shared" si="0"/>
        <v>28178</v>
      </c>
    </row>
    <row r="14" spans="3:12" x14ac:dyDescent="0.25">
      <c r="C14" s="25" t="s">
        <v>28</v>
      </c>
      <c r="D14" s="25"/>
      <c r="E14" s="25"/>
      <c r="F14" s="25"/>
      <c r="G14" s="26"/>
      <c r="H14" s="26"/>
      <c r="I14" s="26"/>
      <c r="J14" s="26"/>
      <c r="K14" s="26"/>
      <c r="L14" s="26"/>
    </row>
  </sheetData>
  <mergeCells count="6">
    <mergeCell ref="C3:L3"/>
    <mergeCell ref="C4:C6"/>
    <mergeCell ref="D4:F5"/>
    <mergeCell ref="G4:L4"/>
    <mergeCell ref="G5:I5"/>
    <mergeCell ref="J5:L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2"/>
  <sheetViews>
    <sheetView workbookViewId="0">
      <selection activeCell="F16" sqref="F16"/>
    </sheetView>
  </sheetViews>
  <sheetFormatPr defaultRowHeight="15" x14ac:dyDescent="0.25"/>
  <cols>
    <col min="3" max="3" width="16.7109375" customWidth="1"/>
  </cols>
  <sheetData>
    <row r="1" spans="3:7" x14ac:dyDescent="0.25">
      <c r="C1" s="175" t="s">
        <v>36</v>
      </c>
      <c r="D1" s="175"/>
      <c r="E1" s="175"/>
      <c r="F1" s="175"/>
      <c r="G1" s="175"/>
    </row>
    <row r="2" spans="3:7" x14ac:dyDescent="0.25">
      <c r="C2" s="175"/>
      <c r="D2" s="175"/>
      <c r="E2" s="175"/>
      <c r="F2" s="175"/>
      <c r="G2" s="175"/>
    </row>
    <row r="3" spans="3:7" x14ac:dyDescent="0.25">
      <c r="C3" s="32" t="s">
        <v>37</v>
      </c>
      <c r="D3" s="32">
        <v>1981</v>
      </c>
      <c r="E3" s="32">
        <v>1992</v>
      </c>
      <c r="F3" s="32">
        <v>2002</v>
      </c>
      <c r="G3" s="32">
        <v>2012</v>
      </c>
    </row>
    <row r="4" spans="3:7" x14ac:dyDescent="0.25">
      <c r="C4" s="1" t="s">
        <v>1</v>
      </c>
      <c r="D4" s="33">
        <v>2460</v>
      </c>
      <c r="E4" s="33">
        <v>4744</v>
      </c>
      <c r="F4" s="33">
        <v>14324</v>
      </c>
      <c r="G4" s="33">
        <v>20546</v>
      </c>
    </row>
    <row r="5" spans="3:7" x14ac:dyDescent="0.25">
      <c r="C5" s="3" t="s">
        <v>38</v>
      </c>
      <c r="D5" s="34">
        <v>4500</v>
      </c>
      <c r="E5" s="34">
        <v>6918</v>
      </c>
      <c r="F5" s="34">
        <v>13430</v>
      </c>
      <c r="G5" s="34">
        <v>17921</v>
      </c>
    </row>
    <row r="6" spans="3:7" x14ac:dyDescent="0.25">
      <c r="C6" s="3" t="s">
        <v>39</v>
      </c>
      <c r="D6" s="34">
        <v>4986</v>
      </c>
      <c r="E6" s="34">
        <v>8026</v>
      </c>
      <c r="F6" s="34">
        <v>13132</v>
      </c>
      <c r="G6" s="34">
        <v>15494</v>
      </c>
    </row>
    <row r="7" spans="3:7" x14ac:dyDescent="0.25">
      <c r="C7" s="3" t="s">
        <v>40</v>
      </c>
      <c r="D7" s="34">
        <v>1024</v>
      </c>
      <c r="E7" s="34">
        <v>1827</v>
      </c>
      <c r="F7" s="34">
        <v>1984</v>
      </c>
      <c r="G7" s="34">
        <v>2470</v>
      </c>
    </row>
    <row r="8" spans="3:7" x14ac:dyDescent="0.25">
      <c r="C8" s="3" t="s">
        <v>23</v>
      </c>
      <c r="D8" s="34">
        <v>1464</v>
      </c>
      <c r="E8" s="34">
        <v>1254</v>
      </c>
      <c r="F8" s="34">
        <v>2155</v>
      </c>
      <c r="G8" s="34">
        <v>3587</v>
      </c>
    </row>
    <row r="9" spans="3:7" x14ac:dyDescent="0.25">
      <c r="C9" s="5" t="s">
        <v>22</v>
      </c>
      <c r="D9" s="35">
        <v>377</v>
      </c>
      <c r="E9" s="35">
        <v>639</v>
      </c>
      <c r="F9" s="35">
        <v>1190</v>
      </c>
      <c r="G9" s="35">
        <v>1884</v>
      </c>
    </row>
    <row r="10" spans="3:7" x14ac:dyDescent="0.25">
      <c r="C10" s="36" t="s">
        <v>27</v>
      </c>
      <c r="D10" s="24">
        <v>14811</v>
      </c>
      <c r="E10" s="24">
        <v>23408</v>
      </c>
      <c r="F10" s="24">
        <v>46215</v>
      </c>
      <c r="G10" s="24">
        <f>SUM(G4:G9)</f>
        <v>61902</v>
      </c>
    </row>
    <row r="11" spans="3:7" x14ac:dyDescent="0.25">
      <c r="C11" s="174" t="s">
        <v>8</v>
      </c>
      <c r="D11" s="174"/>
      <c r="E11" s="174"/>
      <c r="F11" s="174"/>
      <c r="G11" s="174"/>
    </row>
    <row r="12" spans="3:7" x14ac:dyDescent="0.25">
      <c r="C12" s="174"/>
      <c r="D12" s="174"/>
      <c r="E12" s="174"/>
      <c r="F12" s="174"/>
      <c r="G12" s="174"/>
    </row>
  </sheetData>
  <mergeCells count="2">
    <mergeCell ref="C11:G12"/>
    <mergeCell ref="C1:G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9"/>
  <sheetViews>
    <sheetView workbookViewId="0">
      <selection activeCell="K15" sqref="K15"/>
    </sheetView>
  </sheetViews>
  <sheetFormatPr defaultRowHeight="15" x14ac:dyDescent="0.25"/>
  <cols>
    <col min="3" max="3" width="14.5703125" customWidth="1"/>
    <col min="5" max="6" width="10" customWidth="1"/>
  </cols>
  <sheetData>
    <row r="2" spans="3:9" x14ac:dyDescent="0.25">
      <c r="C2" s="175" t="s">
        <v>41</v>
      </c>
      <c r="D2" s="175"/>
      <c r="E2" s="175"/>
      <c r="F2" s="175"/>
      <c r="G2" s="175"/>
      <c r="H2" s="175"/>
      <c r="I2" s="175"/>
    </row>
    <row r="3" spans="3:9" x14ac:dyDescent="0.25">
      <c r="C3" s="176"/>
      <c r="D3" s="176"/>
      <c r="E3" s="176"/>
      <c r="F3" s="176"/>
      <c r="G3" s="176"/>
      <c r="H3" s="176"/>
      <c r="I3" s="176"/>
    </row>
    <row r="4" spans="3:9" x14ac:dyDescent="0.25">
      <c r="C4" s="37" t="s">
        <v>42</v>
      </c>
      <c r="D4" s="38" t="s">
        <v>43</v>
      </c>
      <c r="E4" s="38" t="s">
        <v>44</v>
      </c>
      <c r="F4" s="39" t="s">
        <v>45</v>
      </c>
      <c r="G4" s="38" t="s">
        <v>44</v>
      </c>
      <c r="H4" s="39" t="s">
        <v>27</v>
      </c>
      <c r="I4" s="39" t="s">
        <v>44</v>
      </c>
    </row>
    <row r="5" spans="3:9" x14ac:dyDescent="0.25">
      <c r="C5" s="3" t="s">
        <v>46</v>
      </c>
      <c r="D5" s="40">
        <f>4477+487+3586+5476+491+683</f>
        <v>15200</v>
      </c>
      <c r="E5" s="41">
        <f>D5/D8</f>
        <v>0.47665339145159774</v>
      </c>
      <c r="F5" s="34">
        <f>4209+477+3559+5044+435+632</f>
        <v>14356</v>
      </c>
      <c r="G5" s="41">
        <f>F5/F8</f>
        <v>0.47832605870789324</v>
      </c>
      <c r="H5" s="34">
        <f>D5+F5</f>
        <v>29556</v>
      </c>
      <c r="I5" s="41">
        <f>H5/H8</f>
        <v>0.47746437917999418</v>
      </c>
    </row>
    <row r="6" spans="3:9" x14ac:dyDescent="0.25">
      <c r="C6" s="3" t="s">
        <v>47</v>
      </c>
      <c r="D6" s="40">
        <f>4086+625+3623+4332+396+930</f>
        <v>13992</v>
      </c>
      <c r="E6" s="41">
        <f>D6/D8</f>
        <v>0.43877199034149705</v>
      </c>
      <c r="F6" s="34">
        <f>3811+625+3549+4130+373+918</f>
        <v>13406</v>
      </c>
      <c r="G6" s="41">
        <f>F6/F8</f>
        <v>0.44667310831972812</v>
      </c>
      <c r="H6" s="34">
        <f>D6+F6</f>
        <v>27398</v>
      </c>
      <c r="I6" s="41">
        <f>H6/H8</f>
        <v>0.44260282381829341</v>
      </c>
    </row>
    <row r="7" spans="3:9" x14ac:dyDescent="0.25">
      <c r="C7" s="5" t="s">
        <v>48</v>
      </c>
      <c r="D7" s="42">
        <f>733+142+625+868+114+215</f>
        <v>2697</v>
      </c>
      <c r="E7" s="43">
        <f>D7/D8</f>
        <v>8.4574618206905205E-2</v>
      </c>
      <c r="F7" s="35">
        <f>605+114+552+696+75+209</f>
        <v>2251</v>
      </c>
      <c r="G7" s="43">
        <f>F7/F8</f>
        <v>7.5000832972378639E-2</v>
      </c>
      <c r="H7" s="35">
        <f>D7+F7</f>
        <v>4948</v>
      </c>
      <c r="I7" s="43">
        <f>H7/H8</f>
        <v>7.993279700171238E-2</v>
      </c>
    </row>
    <row r="8" spans="3:9" x14ac:dyDescent="0.25">
      <c r="C8" s="32" t="s">
        <v>27</v>
      </c>
      <c r="D8" s="44">
        <f>SUM(D5:D7)</f>
        <v>31889</v>
      </c>
      <c r="E8" s="45">
        <f>SUM(E5:E7)</f>
        <v>1</v>
      </c>
      <c r="F8" s="29">
        <f>SUM(F5:F7)</f>
        <v>30013</v>
      </c>
      <c r="G8" s="45">
        <f>SUM(G5:G7)</f>
        <v>1</v>
      </c>
      <c r="H8" s="29">
        <f>SUM(H5:H7)</f>
        <v>61902</v>
      </c>
      <c r="I8" s="45">
        <v>0.99999999999999989</v>
      </c>
    </row>
    <row r="9" spans="3:9" x14ac:dyDescent="0.25">
      <c r="C9" s="14" t="s">
        <v>49</v>
      </c>
      <c r="D9" s="46"/>
      <c r="E9" s="47"/>
      <c r="F9" s="47"/>
      <c r="G9" s="47"/>
      <c r="H9" s="47"/>
      <c r="I9" s="48"/>
    </row>
  </sheetData>
  <mergeCells count="1">
    <mergeCell ref="C2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61"/>
  <sheetViews>
    <sheetView workbookViewId="0">
      <selection activeCell="I71" sqref="I71"/>
    </sheetView>
  </sheetViews>
  <sheetFormatPr defaultRowHeight="15" x14ac:dyDescent="0.25"/>
  <sheetData>
    <row r="2" spans="3:10" ht="15.75" x14ac:dyDescent="0.25">
      <c r="C2" s="16" t="s">
        <v>50</v>
      </c>
    </row>
    <row r="6" spans="3:10" x14ac:dyDescent="0.25">
      <c r="D6" s="177" t="s">
        <v>51</v>
      </c>
      <c r="E6" s="177"/>
      <c r="F6" s="177"/>
      <c r="G6" s="177"/>
      <c r="H6" s="177"/>
      <c r="I6" s="177"/>
      <c r="J6" s="177"/>
    </row>
    <row r="7" spans="3:10" x14ac:dyDescent="0.25">
      <c r="D7" s="178"/>
      <c r="E7" s="178"/>
      <c r="F7" s="178"/>
      <c r="G7" s="178"/>
      <c r="H7" s="178"/>
      <c r="I7" s="178"/>
      <c r="J7" s="178"/>
    </row>
    <row r="8" spans="3:10" x14ac:dyDescent="0.25">
      <c r="D8" s="37" t="s">
        <v>42</v>
      </c>
      <c r="E8" s="38" t="s">
        <v>43</v>
      </c>
      <c r="F8" s="38" t="s">
        <v>44</v>
      </c>
      <c r="G8" s="39" t="s">
        <v>45</v>
      </c>
      <c r="H8" s="38" t="s">
        <v>44</v>
      </c>
      <c r="I8" s="39" t="s">
        <v>27</v>
      </c>
      <c r="J8" s="39" t="s">
        <v>44</v>
      </c>
    </row>
    <row r="9" spans="3:10" x14ac:dyDescent="0.25">
      <c r="D9" s="3" t="s">
        <v>46</v>
      </c>
      <c r="E9" s="40">
        <v>4477</v>
      </c>
      <c r="F9" s="41">
        <f>E9/E12</f>
        <v>0.48160499139414803</v>
      </c>
      <c r="G9" s="34">
        <v>4209</v>
      </c>
      <c r="H9" s="41">
        <f>G9/G12</f>
        <v>0.48799999999999999</v>
      </c>
      <c r="I9" s="34">
        <f>E9+G9</f>
        <v>8686</v>
      </c>
      <c r="J9" s="41">
        <f>I9/I12</f>
        <v>0.48468277439875007</v>
      </c>
    </row>
    <row r="10" spans="3:10" x14ac:dyDescent="0.25">
      <c r="D10" s="3" t="s">
        <v>47</v>
      </c>
      <c r="E10" s="40">
        <v>4086</v>
      </c>
      <c r="F10" s="41">
        <f>E10/E12</f>
        <v>0.43954388984509468</v>
      </c>
      <c r="G10" s="34">
        <v>3811</v>
      </c>
      <c r="H10" s="41">
        <f>G10/G12</f>
        <v>0.44185507246376809</v>
      </c>
      <c r="I10" s="34">
        <f>E10+G10</f>
        <v>7897</v>
      </c>
      <c r="J10" s="41">
        <f>I10/I12</f>
        <v>0.44065621338094974</v>
      </c>
    </row>
    <row r="11" spans="3:10" x14ac:dyDescent="0.25">
      <c r="D11" s="5" t="s">
        <v>48</v>
      </c>
      <c r="E11" s="42">
        <v>733</v>
      </c>
      <c r="F11" s="43">
        <f>E11/E12</f>
        <v>7.8851118760757316E-2</v>
      </c>
      <c r="G11" s="35">
        <v>605</v>
      </c>
      <c r="H11" s="43">
        <f>G11/G12</f>
        <v>7.0144927536231888E-2</v>
      </c>
      <c r="I11" s="35">
        <f>E11+G11</f>
        <v>1338</v>
      </c>
      <c r="J11" s="43">
        <f>I11/I12</f>
        <v>7.4661012220300207E-2</v>
      </c>
    </row>
    <row r="12" spans="3:10" x14ac:dyDescent="0.25">
      <c r="D12" s="32" t="s">
        <v>27</v>
      </c>
      <c r="E12" s="44">
        <f>SUM(E9:E11)</f>
        <v>9296</v>
      </c>
      <c r="F12" s="45">
        <f>SUM(F9:F11)</f>
        <v>1</v>
      </c>
      <c r="G12" s="29">
        <f>SUM(G9:G11)</f>
        <v>8625</v>
      </c>
      <c r="H12" s="45">
        <f>SUM(H9:H11)</f>
        <v>1</v>
      </c>
      <c r="I12" s="29">
        <f>SUM(I9:I11)</f>
        <v>17921</v>
      </c>
      <c r="J12" s="45">
        <v>0.99999999999999989</v>
      </c>
    </row>
    <row r="13" spans="3:10" x14ac:dyDescent="0.25">
      <c r="D13" s="14" t="s">
        <v>49</v>
      </c>
      <c r="E13" s="46"/>
      <c r="F13" s="47"/>
      <c r="G13" s="47"/>
      <c r="H13" s="47"/>
      <c r="I13" s="47"/>
      <c r="J13" s="47"/>
    </row>
    <row r="14" spans="3:10" x14ac:dyDescent="0.25">
      <c r="D14" s="49"/>
      <c r="E14" s="50"/>
      <c r="F14" s="51"/>
      <c r="G14" s="51"/>
      <c r="H14" s="52"/>
      <c r="I14" s="52"/>
      <c r="J14" s="52"/>
    </row>
    <row r="15" spans="3:10" x14ac:dyDescent="0.25">
      <c r="D15" s="177" t="s">
        <v>52</v>
      </c>
      <c r="E15" s="177"/>
      <c r="F15" s="177"/>
      <c r="G15" s="177"/>
      <c r="H15" s="177"/>
      <c r="I15" s="177"/>
      <c r="J15" s="177"/>
    </row>
    <row r="16" spans="3:10" x14ac:dyDescent="0.25">
      <c r="D16" s="178"/>
      <c r="E16" s="178"/>
      <c r="F16" s="178"/>
      <c r="G16" s="178"/>
      <c r="H16" s="178"/>
      <c r="I16" s="178"/>
      <c r="J16" s="178"/>
    </row>
    <row r="17" spans="4:10" x14ac:dyDescent="0.25">
      <c r="D17" s="37" t="s">
        <v>42</v>
      </c>
      <c r="E17" s="38" t="s">
        <v>43</v>
      </c>
      <c r="F17" s="38" t="s">
        <v>44</v>
      </c>
      <c r="G17" s="39" t="s">
        <v>45</v>
      </c>
      <c r="H17" s="38" t="s">
        <v>44</v>
      </c>
      <c r="I17" s="39" t="s">
        <v>27</v>
      </c>
      <c r="J17" s="39" t="s">
        <v>44</v>
      </c>
    </row>
    <row r="18" spans="4:10" x14ac:dyDescent="0.25">
      <c r="D18" s="3" t="s">
        <v>46</v>
      </c>
      <c r="E18" s="53">
        <v>683</v>
      </c>
      <c r="F18" s="41">
        <f>E18/E21</f>
        <v>0.37363238512035013</v>
      </c>
      <c r="G18" s="3">
        <v>632</v>
      </c>
      <c r="H18" s="41">
        <f>G18/G21</f>
        <v>0.35929505400795908</v>
      </c>
      <c r="I18" s="34">
        <f>E18+G18</f>
        <v>1315</v>
      </c>
      <c r="J18" s="41">
        <f>I18/I21</f>
        <v>0.36660161695009758</v>
      </c>
    </row>
    <row r="19" spans="4:10" x14ac:dyDescent="0.25">
      <c r="D19" s="3" t="s">
        <v>47</v>
      </c>
      <c r="E19" s="53">
        <v>930</v>
      </c>
      <c r="F19" s="41">
        <f>E19/E21</f>
        <v>0.50875273522975928</v>
      </c>
      <c r="G19" s="3">
        <v>918</v>
      </c>
      <c r="H19" s="41">
        <f>G19/G21</f>
        <v>0.52188743604320642</v>
      </c>
      <c r="I19" s="34">
        <f>E19+G19</f>
        <v>1848</v>
      </c>
      <c r="J19" s="41">
        <f>I19/I21</f>
        <v>0.51519375522720934</v>
      </c>
    </row>
    <row r="20" spans="4:10" x14ac:dyDescent="0.25">
      <c r="D20" s="5" t="s">
        <v>48</v>
      </c>
      <c r="E20" s="54">
        <v>215</v>
      </c>
      <c r="F20" s="43">
        <f>E20/E21</f>
        <v>0.11761487964989059</v>
      </c>
      <c r="G20" s="54">
        <v>209</v>
      </c>
      <c r="H20" s="43">
        <f>G20/G21</f>
        <v>0.11881750994883457</v>
      </c>
      <c r="I20" s="35">
        <f>E20+G20</f>
        <v>424</v>
      </c>
      <c r="J20" s="43">
        <f>I20/I21</f>
        <v>0.11820462782269306</v>
      </c>
    </row>
    <row r="21" spans="4:10" x14ac:dyDescent="0.25">
      <c r="D21" s="32" t="s">
        <v>27</v>
      </c>
      <c r="E21" s="44">
        <f>SUM(E18:E20)</f>
        <v>1828</v>
      </c>
      <c r="F21" s="45">
        <f>SUM(F18:F20)</f>
        <v>1</v>
      </c>
      <c r="G21" s="29">
        <f>SUM(G18:G20)</f>
        <v>1759</v>
      </c>
      <c r="H21" s="45">
        <f>SUM(H18:H20)</f>
        <v>1.0000000000000002</v>
      </c>
      <c r="I21" s="29">
        <f>SUM(I18:I20)</f>
        <v>3587</v>
      </c>
      <c r="J21" s="45">
        <v>0.99999999999999989</v>
      </c>
    </row>
    <row r="22" spans="4:10" x14ac:dyDescent="0.25">
      <c r="D22" s="14" t="s">
        <v>49</v>
      </c>
      <c r="E22" s="46"/>
      <c r="F22" s="47"/>
      <c r="G22" s="47"/>
      <c r="H22" s="47"/>
      <c r="I22" s="47"/>
      <c r="J22" s="47"/>
    </row>
    <row r="23" spans="4:10" x14ac:dyDescent="0.25">
      <c r="D23" s="51"/>
      <c r="E23" s="50"/>
      <c r="F23" s="51"/>
      <c r="G23" s="51"/>
      <c r="H23" s="55"/>
      <c r="I23" s="55"/>
      <c r="J23" s="55"/>
    </row>
    <row r="24" spans="4:10" x14ac:dyDescent="0.25">
      <c r="D24" s="51"/>
      <c r="E24" s="50"/>
      <c r="F24" s="51"/>
      <c r="G24" s="51"/>
      <c r="H24" s="55"/>
      <c r="I24" s="55"/>
      <c r="J24" s="55"/>
    </row>
    <row r="25" spans="4:10" x14ac:dyDescent="0.25">
      <c r="D25" s="177" t="s">
        <v>53</v>
      </c>
      <c r="E25" s="177"/>
      <c r="F25" s="177"/>
      <c r="G25" s="177"/>
      <c r="H25" s="177"/>
      <c r="I25" s="177"/>
      <c r="J25" s="177"/>
    </row>
    <row r="26" spans="4:10" x14ac:dyDescent="0.25">
      <c r="D26" s="178"/>
      <c r="E26" s="178"/>
      <c r="F26" s="178"/>
      <c r="G26" s="178"/>
      <c r="H26" s="178"/>
      <c r="I26" s="178"/>
      <c r="J26" s="178"/>
    </row>
    <row r="27" spans="4:10" x14ac:dyDescent="0.25">
      <c r="D27" s="37" t="s">
        <v>42</v>
      </c>
      <c r="E27" s="38" t="s">
        <v>43</v>
      </c>
      <c r="F27" s="38" t="s">
        <v>44</v>
      </c>
      <c r="G27" s="39" t="s">
        <v>45</v>
      </c>
      <c r="H27" s="38" t="s">
        <v>44</v>
      </c>
      <c r="I27" s="39" t="s">
        <v>27</v>
      </c>
      <c r="J27" s="39" t="s">
        <v>44</v>
      </c>
    </row>
    <row r="28" spans="4:10" x14ac:dyDescent="0.25">
      <c r="D28" s="3" t="s">
        <v>46</v>
      </c>
      <c r="E28" s="53">
        <v>491</v>
      </c>
      <c r="F28" s="41">
        <f>E28/E31</f>
        <v>0.4905094905094905</v>
      </c>
      <c r="G28" s="3">
        <v>435</v>
      </c>
      <c r="H28" s="41">
        <f>G28/G31</f>
        <v>0.49263873159682897</v>
      </c>
      <c r="I28" s="34">
        <f>E28+G28</f>
        <v>926</v>
      </c>
      <c r="J28" s="41">
        <f>I28/I31</f>
        <v>0.49150743099787686</v>
      </c>
    </row>
    <row r="29" spans="4:10" x14ac:dyDescent="0.25">
      <c r="D29" s="3" t="s">
        <v>47</v>
      </c>
      <c r="E29" s="53">
        <v>396</v>
      </c>
      <c r="F29" s="41">
        <f>E29/E31</f>
        <v>0.39560439560439559</v>
      </c>
      <c r="G29" s="3">
        <v>373</v>
      </c>
      <c r="H29" s="41">
        <f>G29/G31</f>
        <v>0.42242355605889015</v>
      </c>
      <c r="I29" s="34">
        <f>E29+G29</f>
        <v>769</v>
      </c>
      <c r="J29" s="41">
        <f>I29/I31</f>
        <v>0.40817409766454354</v>
      </c>
    </row>
    <row r="30" spans="4:10" x14ac:dyDescent="0.25">
      <c r="D30" s="5" t="s">
        <v>48</v>
      </c>
      <c r="E30" s="54">
        <v>114</v>
      </c>
      <c r="F30" s="43">
        <f>E30/E31</f>
        <v>0.11388611388611389</v>
      </c>
      <c r="G30" s="54">
        <v>75</v>
      </c>
      <c r="H30" s="43">
        <f>G30/G31</f>
        <v>8.4937712344280866E-2</v>
      </c>
      <c r="I30" s="35">
        <f>E30+G30</f>
        <v>189</v>
      </c>
      <c r="J30" s="43">
        <f>I30/I31</f>
        <v>0.10031847133757962</v>
      </c>
    </row>
    <row r="31" spans="4:10" x14ac:dyDescent="0.25">
      <c r="D31" s="32" t="s">
        <v>27</v>
      </c>
      <c r="E31" s="44">
        <f>SUM(E28:E30)</f>
        <v>1001</v>
      </c>
      <c r="F31" s="45">
        <f>SUM(F28:F30)</f>
        <v>1</v>
      </c>
      <c r="G31" s="29">
        <f>SUM(G28:G30)</f>
        <v>883</v>
      </c>
      <c r="H31" s="45">
        <f>SUM(H28:H30)</f>
        <v>0.99999999999999989</v>
      </c>
      <c r="I31" s="29">
        <f>SUM(I28:I30)</f>
        <v>1884</v>
      </c>
      <c r="J31" s="45">
        <v>0.99999999999999989</v>
      </c>
    </row>
    <row r="32" spans="4:10" x14ac:dyDescent="0.25">
      <c r="D32" s="14" t="s">
        <v>49</v>
      </c>
      <c r="E32" s="46"/>
      <c r="F32" s="47"/>
      <c r="G32" s="47"/>
      <c r="H32" s="47"/>
      <c r="I32" s="47"/>
      <c r="J32" s="47"/>
    </row>
    <row r="33" spans="4:10" x14ac:dyDescent="0.25">
      <c r="D33" s="56"/>
      <c r="E33" s="57"/>
      <c r="F33" s="51"/>
      <c r="G33" s="51"/>
      <c r="H33" s="52"/>
      <c r="I33" s="52"/>
      <c r="J33" s="52"/>
    </row>
    <row r="34" spans="4:10" x14ac:dyDescent="0.25">
      <c r="D34" s="177" t="s">
        <v>54</v>
      </c>
      <c r="E34" s="177"/>
      <c r="F34" s="177"/>
      <c r="G34" s="177"/>
      <c r="H34" s="177"/>
      <c r="I34" s="177"/>
      <c r="J34" s="177"/>
    </row>
    <row r="35" spans="4:10" x14ac:dyDescent="0.25">
      <c r="D35" s="178"/>
      <c r="E35" s="178"/>
      <c r="F35" s="178"/>
      <c r="G35" s="178"/>
      <c r="H35" s="178"/>
      <c r="I35" s="178"/>
      <c r="J35" s="178"/>
    </row>
    <row r="36" spans="4:10" x14ac:dyDescent="0.25">
      <c r="D36" s="37" t="s">
        <v>42</v>
      </c>
      <c r="E36" s="38" t="s">
        <v>43</v>
      </c>
      <c r="F36" s="38" t="s">
        <v>44</v>
      </c>
      <c r="G36" s="39" t="s">
        <v>45</v>
      </c>
      <c r="H36" s="38" t="s">
        <v>44</v>
      </c>
      <c r="I36" s="39" t="s">
        <v>27</v>
      </c>
      <c r="J36" s="39" t="s">
        <v>44</v>
      </c>
    </row>
    <row r="37" spans="4:10" x14ac:dyDescent="0.25">
      <c r="D37" s="3" t="s">
        <v>46</v>
      </c>
      <c r="E37" s="53">
        <v>5476</v>
      </c>
      <c r="F37" s="41">
        <f>E37/E40</f>
        <v>0.51292618958411385</v>
      </c>
      <c r="G37" s="34">
        <v>5044</v>
      </c>
      <c r="H37" s="41">
        <f>G37/G40</f>
        <v>0.51104356636271531</v>
      </c>
      <c r="I37" s="34">
        <f>E37+G37</f>
        <v>10520</v>
      </c>
      <c r="J37" s="41">
        <f>I37/I40</f>
        <v>0.51202180473084791</v>
      </c>
    </row>
    <row r="38" spans="4:10" x14ac:dyDescent="0.25">
      <c r="D38" s="3" t="s">
        <v>47</v>
      </c>
      <c r="E38" s="53">
        <v>4332</v>
      </c>
      <c r="F38" s="41">
        <f>E38/E40</f>
        <v>0.40576995129261895</v>
      </c>
      <c r="G38" s="34">
        <v>4130</v>
      </c>
      <c r="H38" s="41">
        <f>G38/G40</f>
        <v>0.41843971631205673</v>
      </c>
      <c r="I38" s="34">
        <f>E38+G38</f>
        <v>8462</v>
      </c>
      <c r="J38" s="41">
        <f>I38/I40</f>
        <v>0.41185632239852038</v>
      </c>
    </row>
    <row r="39" spans="4:10" x14ac:dyDescent="0.25">
      <c r="D39" s="5" t="s">
        <v>48</v>
      </c>
      <c r="E39" s="54">
        <v>868</v>
      </c>
      <c r="F39" s="43">
        <f>E39/E40</f>
        <v>8.1303859123267139E-2</v>
      </c>
      <c r="G39" s="54">
        <v>696</v>
      </c>
      <c r="H39" s="43">
        <f>G39/G40</f>
        <v>7.0516717325227962E-2</v>
      </c>
      <c r="I39" s="35">
        <f>E39+G39</f>
        <v>1564</v>
      </c>
      <c r="J39" s="43">
        <f>I39/I40</f>
        <v>7.6121872870631754E-2</v>
      </c>
    </row>
    <row r="40" spans="4:10" x14ac:dyDescent="0.25">
      <c r="D40" s="32" t="s">
        <v>27</v>
      </c>
      <c r="E40" s="44">
        <f>SUM(E37:E39)</f>
        <v>10676</v>
      </c>
      <c r="F40" s="45">
        <f>SUM(F37:F39)</f>
        <v>0.99999999999999989</v>
      </c>
      <c r="G40" s="29">
        <f>SUM(G37:G39)</f>
        <v>9870</v>
      </c>
      <c r="H40" s="45">
        <f>SUM(H37:H39)</f>
        <v>1</v>
      </c>
      <c r="I40" s="29">
        <f>SUM(I37:I39)</f>
        <v>20546</v>
      </c>
      <c r="J40" s="45">
        <v>0.99999999999999989</v>
      </c>
    </row>
    <row r="41" spans="4:10" x14ac:dyDescent="0.25">
      <c r="D41" s="14" t="s">
        <v>49</v>
      </c>
      <c r="E41" s="46"/>
      <c r="F41" s="47"/>
      <c r="G41" s="47"/>
      <c r="H41" s="47"/>
      <c r="I41" s="47"/>
      <c r="J41" s="47"/>
    </row>
    <row r="42" spans="4:10" x14ac:dyDescent="0.25">
      <c r="D42" s="56"/>
      <c r="E42" s="57"/>
      <c r="F42" s="51"/>
      <c r="G42" s="51"/>
      <c r="H42" s="52"/>
      <c r="I42" s="52"/>
      <c r="J42" s="52"/>
    </row>
    <row r="43" spans="4:10" x14ac:dyDescent="0.25">
      <c r="D43" s="177" t="s">
        <v>55</v>
      </c>
      <c r="E43" s="177"/>
      <c r="F43" s="177"/>
      <c r="G43" s="177"/>
      <c r="H43" s="177"/>
      <c r="I43" s="177"/>
      <c r="J43" s="177"/>
    </row>
    <row r="44" spans="4:10" x14ac:dyDescent="0.25">
      <c r="D44" s="178"/>
      <c r="E44" s="178"/>
      <c r="F44" s="178"/>
      <c r="G44" s="178"/>
      <c r="H44" s="178"/>
      <c r="I44" s="178"/>
      <c r="J44" s="178"/>
    </row>
    <row r="45" spans="4:10" x14ac:dyDescent="0.25">
      <c r="D45" s="37" t="s">
        <v>42</v>
      </c>
      <c r="E45" s="38" t="s">
        <v>43</v>
      </c>
      <c r="F45" s="38" t="s">
        <v>44</v>
      </c>
      <c r="G45" s="39" t="s">
        <v>45</v>
      </c>
      <c r="H45" s="38" t="s">
        <v>44</v>
      </c>
      <c r="I45" s="39" t="s">
        <v>27</v>
      </c>
      <c r="J45" s="39" t="s">
        <v>44</v>
      </c>
    </row>
    <row r="46" spans="4:10" x14ac:dyDescent="0.25">
      <c r="D46" s="3" t="s">
        <v>46</v>
      </c>
      <c r="E46" s="53">
        <v>3586</v>
      </c>
      <c r="F46" s="41">
        <f>E46/E49</f>
        <v>0.45774827674240492</v>
      </c>
      <c r="G46" s="34">
        <v>3559</v>
      </c>
      <c r="H46" s="41">
        <f>G46/G49</f>
        <v>0.464621409921671</v>
      </c>
      <c r="I46" s="34">
        <f>E46+G46</f>
        <v>7145</v>
      </c>
      <c r="J46" s="41">
        <f>I46/I49</f>
        <v>0.4611462501613528</v>
      </c>
    </row>
    <row r="47" spans="4:10" x14ac:dyDescent="0.25">
      <c r="D47" s="3" t="s">
        <v>47</v>
      </c>
      <c r="E47" s="53">
        <v>3623</v>
      </c>
      <c r="F47" s="41">
        <f>E47/E49</f>
        <v>0.46247127904008167</v>
      </c>
      <c r="G47" s="34">
        <v>3549</v>
      </c>
      <c r="H47" s="41">
        <f>G47/G49</f>
        <v>0.46331592689295037</v>
      </c>
      <c r="I47" s="34">
        <f>E47+G47</f>
        <v>7172</v>
      </c>
      <c r="J47" s="41">
        <f>I47/I49</f>
        <v>0.46288886020394993</v>
      </c>
    </row>
    <row r="48" spans="4:10" x14ac:dyDescent="0.25">
      <c r="D48" s="5" t="s">
        <v>48</v>
      </c>
      <c r="E48" s="54">
        <v>625</v>
      </c>
      <c r="F48" s="43">
        <f>E48/E49</f>
        <v>7.9780444217513402E-2</v>
      </c>
      <c r="G48" s="54">
        <v>552</v>
      </c>
      <c r="H48" s="43">
        <f>G48/G49</f>
        <v>7.2062663185378587E-2</v>
      </c>
      <c r="I48" s="35">
        <f>E48+G48</f>
        <v>1177</v>
      </c>
      <c r="J48" s="43">
        <f>I48/I49</f>
        <v>7.5964889634697302E-2</v>
      </c>
    </row>
    <row r="49" spans="4:10" x14ac:dyDescent="0.25">
      <c r="D49" s="32" t="s">
        <v>27</v>
      </c>
      <c r="E49" s="44">
        <f>SUM(E46:E48)</f>
        <v>7834</v>
      </c>
      <c r="F49" s="45">
        <f>SUM(F46:F48)</f>
        <v>1</v>
      </c>
      <c r="G49" s="29">
        <f>SUM(G46:G48)</f>
        <v>7660</v>
      </c>
      <c r="H49" s="45">
        <f>SUM(H46:H48)</f>
        <v>0.99999999999999989</v>
      </c>
      <c r="I49" s="29">
        <f>SUM(I46:I48)</f>
        <v>15494</v>
      </c>
      <c r="J49" s="45">
        <v>0.99999999999999989</v>
      </c>
    </row>
    <row r="50" spans="4:10" x14ac:dyDescent="0.25">
      <c r="D50" s="14" t="s">
        <v>49</v>
      </c>
      <c r="E50" s="46"/>
      <c r="F50" s="47"/>
      <c r="G50" s="47"/>
      <c r="H50" s="47"/>
      <c r="I50" s="47"/>
      <c r="J50" s="47"/>
    </row>
    <row r="51" spans="4:10" x14ac:dyDescent="0.25">
      <c r="D51" s="49"/>
      <c r="E51" s="50"/>
      <c r="F51" s="51"/>
      <c r="G51" s="51"/>
      <c r="H51" s="52"/>
      <c r="I51" s="52"/>
      <c r="J51" s="52"/>
    </row>
    <row r="52" spans="4:10" x14ac:dyDescent="0.25">
      <c r="D52" s="49"/>
      <c r="E52" s="50"/>
      <c r="F52" s="51"/>
      <c r="G52" s="51"/>
      <c r="H52" s="52"/>
      <c r="I52" s="52"/>
      <c r="J52" s="52"/>
    </row>
    <row r="53" spans="4:10" x14ac:dyDescent="0.25">
      <c r="D53" s="177" t="s">
        <v>56</v>
      </c>
      <c r="E53" s="177"/>
      <c r="F53" s="177"/>
      <c r="G53" s="177"/>
      <c r="H53" s="177"/>
      <c r="I53" s="177"/>
      <c r="J53" s="177"/>
    </row>
    <row r="54" spans="4:10" x14ac:dyDescent="0.25">
      <c r="D54" s="178"/>
      <c r="E54" s="178"/>
      <c r="F54" s="178"/>
      <c r="G54" s="178"/>
      <c r="H54" s="178"/>
      <c r="I54" s="178"/>
      <c r="J54" s="178"/>
    </row>
    <row r="55" spans="4:10" x14ac:dyDescent="0.25">
      <c r="D55" s="37" t="s">
        <v>42</v>
      </c>
      <c r="E55" s="38" t="s">
        <v>43</v>
      </c>
      <c r="F55" s="38" t="s">
        <v>44</v>
      </c>
      <c r="G55" s="39" t="s">
        <v>45</v>
      </c>
      <c r="H55" s="38" t="s">
        <v>44</v>
      </c>
      <c r="I55" s="39" t="s">
        <v>27</v>
      </c>
      <c r="J55" s="39" t="s">
        <v>44</v>
      </c>
    </row>
    <row r="56" spans="4:10" x14ac:dyDescent="0.25">
      <c r="D56" s="3" t="s">
        <v>46</v>
      </c>
      <c r="E56" s="53">
        <v>487</v>
      </c>
      <c r="F56" s="41">
        <f>E56/E59</f>
        <v>0.3883572567783094</v>
      </c>
      <c r="G56" s="3">
        <v>477</v>
      </c>
      <c r="H56" s="41">
        <f>G56/G59</f>
        <v>0.39226973684210525</v>
      </c>
      <c r="I56" s="34">
        <f>E56+G56</f>
        <v>964</v>
      </c>
      <c r="J56" s="41">
        <f>I56/I59</f>
        <v>0.39028340080971657</v>
      </c>
    </row>
    <row r="57" spans="4:10" x14ac:dyDescent="0.25">
      <c r="D57" s="3" t="s">
        <v>47</v>
      </c>
      <c r="E57" s="53">
        <v>625</v>
      </c>
      <c r="F57" s="41">
        <f>E57/E59</f>
        <v>0.49840510366826157</v>
      </c>
      <c r="G57" s="3">
        <v>625</v>
      </c>
      <c r="H57" s="41">
        <f>G57/G59</f>
        <v>0.51398026315789469</v>
      </c>
      <c r="I57" s="34">
        <f>E57+G57</f>
        <v>1250</v>
      </c>
      <c r="J57" s="41">
        <f>I57/I59</f>
        <v>0.50607287449392713</v>
      </c>
    </row>
    <row r="58" spans="4:10" x14ac:dyDescent="0.25">
      <c r="D58" s="5" t="s">
        <v>48</v>
      </c>
      <c r="E58" s="54">
        <v>142</v>
      </c>
      <c r="F58" s="43">
        <f>E58/E59</f>
        <v>0.11323763955342903</v>
      </c>
      <c r="G58" s="54">
        <v>114</v>
      </c>
      <c r="H58" s="43">
        <f>G58/G59</f>
        <v>9.375E-2</v>
      </c>
      <c r="I58" s="35">
        <f>E58+G58</f>
        <v>256</v>
      </c>
      <c r="J58" s="43">
        <f>I58/I59</f>
        <v>0.10364372469635627</v>
      </c>
    </row>
    <row r="59" spans="4:10" x14ac:dyDescent="0.25">
      <c r="D59" s="32" t="s">
        <v>27</v>
      </c>
      <c r="E59" s="44">
        <f>SUM(E56:E58)</f>
        <v>1254</v>
      </c>
      <c r="F59" s="45">
        <f>SUM(F56:F58)</f>
        <v>1</v>
      </c>
      <c r="G59" s="29">
        <f>SUM(G56:G58)</f>
        <v>1216</v>
      </c>
      <c r="H59" s="45">
        <f>SUM(H56:H58)</f>
        <v>1</v>
      </c>
      <c r="I59" s="29">
        <f>SUM(I56:I58)</f>
        <v>2470</v>
      </c>
      <c r="J59" s="45">
        <v>0.99999999999999989</v>
      </c>
    </row>
    <row r="60" spans="4:10" x14ac:dyDescent="0.25">
      <c r="D60" s="14" t="s">
        <v>49</v>
      </c>
      <c r="E60" s="46"/>
      <c r="F60" s="47"/>
      <c r="G60" s="47"/>
      <c r="H60" s="47"/>
      <c r="I60" s="47"/>
      <c r="J60" s="47"/>
    </row>
    <row r="61" spans="4:10" x14ac:dyDescent="0.25">
      <c r="D61" s="49"/>
      <c r="E61" s="50"/>
      <c r="F61" s="51"/>
      <c r="G61" s="51"/>
      <c r="H61" s="52"/>
      <c r="I61" s="52"/>
      <c r="J61" s="52"/>
    </row>
  </sheetData>
  <mergeCells count="6">
    <mergeCell ref="D53:J54"/>
    <mergeCell ref="D6:J7"/>
    <mergeCell ref="D15:J16"/>
    <mergeCell ref="D25:J26"/>
    <mergeCell ref="D34:J35"/>
    <mergeCell ref="D43:J4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topLeftCell="D1" workbookViewId="0">
      <selection activeCell="J23" sqref="J23"/>
    </sheetView>
  </sheetViews>
  <sheetFormatPr defaultRowHeight="15" x14ac:dyDescent="0.25"/>
  <cols>
    <col min="2" max="2" width="12" customWidth="1"/>
    <col min="3" max="3" width="16.7109375" customWidth="1"/>
    <col min="4" max="4" width="10.7109375" customWidth="1"/>
    <col min="5" max="5" width="7.5703125" customWidth="1"/>
    <col min="6" max="6" width="9.5703125" customWidth="1"/>
    <col min="7" max="7" width="8.42578125" customWidth="1"/>
    <col min="8" max="8" width="8.140625" customWidth="1"/>
    <col min="9" max="9" width="12.85546875" customWidth="1"/>
    <col min="10" max="10" width="9.7109375" customWidth="1"/>
    <col min="11" max="11" width="6.7109375" customWidth="1"/>
    <col min="12" max="12" width="12.7109375" bestFit="1" customWidth="1"/>
    <col min="13" max="13" width="9.28515625" bestFit="1" customWidth="1"/>
    <col min="14" max="14" width="7.28515625" customWidth="1"/>
    <col min="15" max="15" width="12.42578125" customWidth="1"/>
    <col min="16" max="16" width="11.5703125" bestFit="1" customWidth="1"/>
    <col min="17" max="17" width="11.42578125" customWidth="1"/>
    <col min="18" max="18" width="9.28515625" bestFit="1" customWidth="1"/>
    <col min="19" max="19" width="9.7109375" bestFit="1" customWidth="1"/>
    <col min="20" max="20" width="9.28515625" bestFit="1" customWidth="1"/>
    <col min="255" max="255" width="12" customWidth="1"/>
    <col min="256" max="256" width="16.7109375" customWidth="1"/>
    <col min="257" max="257" width="10.7109375" customWidth="1"/>
    <col min="258" max="258" width="7.5703125" customWidth="1"/>
    <col min="259" max="259" width="9.5703125" customWidth="1"/>
    <col min="260" max="260" width="8.42578125" customWidth="1"/>
    <col min="261" max="261" width="8.140625" customWidth="1"/>
    <col min="262" max="262" width="12.85546875" customWidth="1"/>
    <col min="263" max="263" width="9.7109375" customWidth="1"/>
    <col min="264" max="264" width="6.7109375" customWidth="1"/>
    <col min="265" max="265" width="12.7109375" bestFit="1" customWidth="1"/>
    <col min="266" max="266" width="9.28515625" bestFit="1" customWidth="1"/>
    <col min="267" max="267" width="11.5703125" bestFit="1" customWidth="1"/>
    <col min="268" max="268" width="9.5703125" bestFit="1" customWidth="1"/>
    <col min="269" max="269" width="9.5703125" customWidth="1"/>
    <col min="270" max="271" width="9.42578125" customWidth="1"/>
    <col min="272" max="272" width="11.5703125" bestFit="1" customWidth="1"/>
    <col min="273" max="273" width="11.42578125" customWidth="1"/>
    <col min="274" max="274" width="9.28515625" bestFit="1" customWidth="1"/>
    <col min="275" max="275" width="9.7109375" bestFit="1" customWidth="1"/>
    <col min="276" max="276" width="9.28515625" bestFit="1" customWidth="1"/>
    <col min="511" max="511" width="12" customWidth="1"/>
    <col min="512" max="512" width="16.7109375" customWidth="1"/>
    <col min="513" max="513" width="10.7109375" customWidth="1"/>
    <col min="514" max="514" width="7.5703125" customWidth="1"/>
    <col min="515" max="515" width="9.5703125" customWidth="1"/>
    <col min="516" max="516" width="8.42578125" customWidth="1"/>
    <col min="517" max="517" width="8.140625" customWidth="1"/>
    <col min="518" max="518" width="12.85546875" customWidth="1"/>
    <col min="519" max="519" width="9.7109375" customWidth="1"/>
    <col min="520" max="520" width="6.7109375" customWidth="1"/>
    <col min="521" max="521" width="12.7109375" bestFit="1" customWidth="1"/>
    <col min="522" max="522" width="9.28515625" bestFit="1" customWidth="1"/>
    <col min="523" max="523" width="11.5703125" bestFit="1" customWidth="1"/>
    <col min="524" max="524" width="9.5703125" bestFit="1" customWidth="1"/>
    <col min="525" max="525" width="9.5703125" customWidth="1"/>
    <col min="526" max="527" width="9.42578125" customWidth="1"/>
    <col min="528" max="528" width="11.5703125" bestFit="1" customWidth="1"/>
    <col min="529" max="529" width="11.42578125" customWidth="1"/>
    <col min="530" max="530" width="9.28515625" bestFit="1" customWidth="1"/>
    <col min="531" max="531" width="9.7109375" bestFit="1" customWidth="1"/>
    <col min="532" max="532" width="9.28515625" bestFit="1" customWidth="1"/>
    <col min="767" max="767" width="12" customWidth="1"/>
    <col min="768" max="768" width="16.7109375" customWidth="1"/>
    <col min="769" max="769" width="10.7109375" customWidth="1"/>
    <col min="770" max="770" width="7.5703125" customWidth="1"/>
    <col min="771" max="771" width="9.5703125" customWidth="1"/>
    <col min="772" max="772" width="8.42578125" customWidth="1"/>
    <col min="773" max="773" width="8.140625" customWidth="1"/>
    <col min="774" max="774" width="12.85546875" customWidth="1"/>
    <col min="775" max="775" width="9.7109375" customWidth="1"/>
    <col min="776" max="776" width="6.7109375" customWidth="1"/>
    <col min="777" max="777" width="12.7109375" bestFit="1" customWidth="1"/>
    <col min="778" max="778" width="9.28515625" bestFit="1" customWidth="1"/>
    <col min="779" max="779" width="11.5703125" bestFit="1" customWidth="1"/>
    <col min="780" max="780" width="9.5703125" bestFit="1" customWidth="1"/>
    <col min="781" max="781" width="9.5703125" customWidth="1"/>
    <col min="782" max="783" width="9.42578125" customWidth="1"/>
    <col min="784" max="784" width="11.5703125" bestFit="1" customWidth="1"/>
    <col min="785" max="785" width="11.42578125" customWidth="1"/>
    <col min="786" max="786" width="9.28515625" bestFit="1" customWidth="1"/>
    <col min="787" max="787" width="9.7109375" bestFit="1" customWidth="1"/>
    <col min="788" max="788" width="9.28515625" bestFit="1" customWidth="1"/>
    <col min="1023" max="1023" width="12" customWidth="1"/>
    <col min="1024" max="1024" width="16.7109375" customWidth="1"/>
    <col min="1025" max="1025" width="10.7109375" customWidth="1"/>
    <col min="1026" max="1026" width="7.5703125" customWidth="1"/>
    <col min="1027" max="1027" width="9.5703125" customWidth="1"/>
    <col min="1028" max="1028" width="8.42578125" customWidth="1"/>
    <col min="1029" max="1029" width="8.140625" customWidth="1"/>
    <col min="1030" max="1030" width="12.85546875" customWidth="1"/>
    <col min="1031" max="1031" width="9.7109375" customWidth="1"/>
    <col min="1032" max="1032" width="6.7109375" customWidth="1"/>
    <col min="1033" max="1033" width="12.7109375" bestFit="1" customWidth="1"/>
    <col min="1034" max="1034" width="9.28515625" bestFit="1" customWidth="1"/>
    <col min="1035" max="1035" width="11.5703125" bestFit="1" customWidth="1"/>
    <col min="1036" max="1036" width="9.5703125" bestFit="1" customWidth="1"/>
    <col min="1037" max="1037" width="9.5703125" customWidth="1"/>
    <col min="1038" max="1039" width="9.42578125" customWidth="1"/>
    <col min="1040" max="1040" width="11.5703125" bestFit="1" customWidth="1"/>
    <col min="1041" max="1041" width="11.42578125" customWidth="1"/>
    <col min="1042" max="1042" width="9.28515625" bestFit="1" customWidth="1"/>
    <col min="1043" max="1043" width="9.7109375" bestFit="1" customWidth="1"/>
    <col min="1044" max="1044" width="9.28515625" bestFit="1" customWidth="1"/>
    <col min="1279" max="1279" width="12" customWidth="1"/>
    <col min="1280" max="1280" width="16.7109375" customWidth="1"/>
    <col min="1281" max="1281" width="10.7109375" customWidth="1"/>
    <col min="1282" max="1282" width="7.5703125" customWidth="1"/>
    <col min="1283" max="1283" width="9.5703125" customWidth="1"/>
    <col min="1284" max="1284" width="8.42578125" customWidth="1"/>
    <col min="1285" max="1285" width="8.140625" customWidth="1"/>
    <col min="1286" max="1286" width="12.85546875" customWidth="1"/>
    <col min="1287" max="1287" width="9.7109375" customWidth="1"/>
    <col min="1288" max="1288" width="6.7109375" customWidth="1"/>
    <col min="1289" max="1289" width="12.7109375" bestFit="1" customWidth="1"/>
    <col min="1290" max="1290" width="9.28515625" bestFit="1" customWidth="1"/>
    <col min="1291" max="1291" width="11.5703125" bestFit="1" customWidth="1"/>
    <col min="1292" max="1292" width="9.5703125" bestFit="1" customWidth="1"/>
    <col min="1293" max="1293" width="9.5703125" customWidth="1"/>
    <col min="1294" max="1295" width="9.42578125" customWidth="1"/>
    <col min="1296" max="1296" width="11.5703125" bestFit="1" customWidth="1"/>
    <col min="1297" max="1297" width="11.42578125" customWidth="1"/>
    <col min="1298" max="1298" width="9.28515625" bestFit="1" customWidth="1"/>
    <col min="1299" max="1299" width="9.7109375" bestFit="1" customWidth="1"/>
    <col min="1300" max="1300" width="9.28515625" bestFit="1" customWidth="1"/>
    <col min="1535" max="1535" width="12" customWidth="1"/>
    <col min="1536" max="1536" width="16.7109375" customWidth="1"/>
    <col min="1537" max="1537" width="10.7109375" customWidth="1"/>
    <col min="1538" max="1538" width="7.5703125" customWidth="1"/>
    <col min="1539" max="1539" width="9.5703125" customWidth="1"/>
    <col min="1540" max="1540" width="8.42578125" customWidth="1"/>
    <col min="1541" max="1541" width="8.140625" customWidth="1"/>
    <col min="1542" max="1542" width="12.85546875" customWidth="1"/>
    <col min="1543" max="1543" width="9.7109375" customWidth="1"/>
    <col min="1544" max="1544" width="6.7109375" customWidth="1"/>
    <col min="1545" max="1545" width="12.7109375" bestFit="1" customWidth="1"/>
    <col min="1546" max="1546" width="9.28515625" bestFit="1" customWidth="1"/>
    <col min="1547" max="1547" width="11.5703125" bestFit="1" customWidth="1"/>
    <col min="1548" max="1548" width="9.5703125" bestFit="1" customWidth="1"/>
    <col min="1549" max="1549" width="9.5703125" customWidth="1"/>
    <col min="1550" max="1551" width="9.42578125" customWidth="1"/>
    <col min="1552" max="1552" width="11.5703125" bestFit="1" customWidth="1"/>
    <col min="1553" max="1553" width="11.42578125" customWidth="1"/>
    <col min="1554" max="1554" width="9.28515625" bestFit="1" customWidth="1"/>
    <col min="1555" max="1555" width="9.7109375" bestFit="1" customWidth="1"/>
    <col min="1556" max="1556" width="9.28515625" bestFit="1" customWidth="1"/>
    <col min="1791" max="1791" width="12" customWidth="1"/>
    <col min="1792" max="1792" width="16.7109375" customWidth="1"/>
    <col min="1793" max="1793" width="10.7109375" customWidth="1"/>
    <col min="1794" max="1794" width="7.5703125" customWidth="1"/>
    <col min="1795" max="1795" width="9.5703125" customWidth="1"/>
    <col min="1796" max="1796" width="8.42578125" customWidth="1"/>
    <col min="1797" max="1797" width="8.140625" customWidth="1"/>
    <col min="1798" max="1798" width="12.85546875" customWidth="1"/>
    <col min="1799" max="1799" width="9.7109375" customWidth="1"/>
    <col min="1800" max="1800" width="6.7109375" customWidth="1"/>
    <col min="1801" max="1801" width="12.7109375" bestFit="1" customWidth="1"/>
    <col min="1802" max="1802" width="9.28515625" bestFit="1" customWidth="1"/>
    <col min="1803" max="1803" width="11.5703125" bestFit="1" customWidth="1"/>
    <col min="1804" max="1804" width="9.5703125" bestFit="1" customWidth="1"/>
    <col min="1805" max="1805" width="9.5703125" customWidth="1"/>
    <col min="1806" max="1807" width="9.42578125" customWidth="1"/>
    <col min="1808" max="1808" width="11.5703125" bestFit="1" customWidth="1"/>
    <col min="1809" max="1809" width="11.42578125" customWidth="1"/>
    <col min="1810" max="1810" width="9.28515625" bestFit="1" customWidth="1"/>
    <col min="1811" max="1811" width="9.7109375" bestFit="1" customWidth="1"/>
    <col min="1812" max="1812" width="9.28515625" bestFit="1" customWidth="1"/>
    <col min="2047" max="2047" width="12" customWidth="1"/>
    <col min="2048" max="2048" width="16.7109375" customWidth="1"/>
    <col min="2049" max="2049" width="10.7109375" customWidth="1"/>
    <col min="2050" max="2050" width="7.5703125" customWidth="1"/>
    <col min="2051" max="2051" width="9.5703125" customWidth="1"/>
    <col min="2052" max="2052" width="8.42578125" customWidth="1"/>
    <col min="2053" max="2053" width="8.140625" customWidth="1"/>
    <col min="2054" max="2054" width="12.85546875" customWidth="1"/>
    <col min="2055" max="2055" width="9.7109375" customWidth="1"/>
    <col min="2056" max="2056" width="6.7109375" customWidth="1"/>
    <col min="2057" max="2057" width="12.7109375" bestFit="1" customWidth="1"/>
    <col min="2058" max="2058" width="9.28515625" bestFit="1" customWidth="1"/>
    <col min="2059" max="2059" width="11.5703125" bestFit="1" customWidth="1"/>
    <col min="2060" max="2060" width="9.5703125" bestFit="1" customWidth="1"/>
    <col min="2061" max="2061" width="9.5703125" customWidth="1"/>
    <col min="2062" max="2063" width="9.42578125" customWidth="1"/>
    <col min="2064" max="2064" width="11.5703125" bestFit="1" customWidth="1"/>
    <col min="2065" max="2065" width="11.42578125" customWidth="1"/>
    <col min="2066" max="2066" width="9.28515625" bestFit="1" customWidth="1"/>
    <col min="2067" max="2067" width="9.7109375" bestFit="1" customWidth="1"/>
    <col min="2068" max="2068" width="9.28515625" bestFit="1" customWidth="1"/>
    <col min="2303" max="2303" width="12" customWidth="1"/>
    <col min="2304" max="2304" width="16.7109375" customWidth="1"/>
    <col min="2305" max="2305" width="10.7109375" customWidth="1"/>
    <col min="2306" max="2306" width="7.5703125" customWidth="1"/>
    <col min="2307" max="2307" width="9.5703125" customWidth="1"/>
    <col min="2308" max="2308" width="8.42578125" customWidth="1"/>
    <col min="2309" max="2309" width="8.140625" customWidth="1"/>
    <col min="2310" max="2310" width="12.85546875" customWidth="1"/>
    <col min="2311" max="2311" width="9.7109375" customWidth="1"/>
    <col min="2312" max="2312" width="6.7109375" customWidth="1"/>
    <col min="2313" max="2313" width="12.7109375" bestFit="1" customWidth="1"/>
    <col min="2314" max="2314" width="9.28515625" bestFit="1" customWidth="1"/>
    <col min="2315" max="2315" width="11.5703125" bestFit="1" customWidth="1"/>
    <col min="2316" max="2316" width="9.5703125" bestFit="1" customWidth="1"/>
    <col min="2317" max="2317" width="9.5703125" customWidth="1"/>
    <col min="2318" max="2319" width="9.42578125" customWidth="1"/>
    <col min="2320" max="2320" width="11.5703125" bestFit="1" customWidth="1"/>
    <col min="2321" max="2321" width="11.42578125" customWidth="1"/>
    <col min="2322" max="2322" width="9.28515625" bestFit="1" customWidth="1"/>
    <col min="2323" max="2323" width="9.7109375" bestFit="1" customWidth="1"/>
    <col min="2324" max="2324" width="9.28515625" bestFit="1" customWidth="1"/>
    <col min="2559" max="2559" width="12" customWidth="1"/>
    <col min="2560" max="2560" width="16.7109375" customWidth="1"/>
    <col min="2561" max="2561" width="10.7109375" customWidth="1"/>
    <col min="2562" max="2562" width="7.5703125" customWidth="1"/>
    <col min="2563" max="2563" width="9.5703125" customWidth="1"/>
    <col min="2564" max="2564" width="8.42578125" customWidth="1"/>
    <col min="2565" max="2565" width="8.140625" customWidth="1"/>
    <col min="2566" max="2566" width="12.85546875" customWidth="1"/>
    <col min="2567" max="2567" width="9.7109375" customWidth="1"/>
    <col min="2568" max="2568" width="6.7109375" customWidth="1"/>
    <col min="2569" max="2569" width="12.7109375" bestFit="1" customWidth="1"/>
    <col min="2570" max="2570" width="9.28515625" bestFit="1" customWidth="1"/>
    <col min="2571" max="2571" width="11.5703125" bestFit="1" customWidth="1"/>
    <col min="2572" max="2572" width="9.5703125" bestFit="1" customWidth="1"/>
    <col min="2573" max="2573" width="9.5703125" customWidth="1"/>
    <col min="2574" max="2575" width="9.42578125" customWidth="1"/>
    <col min="2576" max="2576" width="11.5703125" bestFit="1" customWidth="1"/>
    <col min="2577" max="2577" width="11.42578125" customWidth="1"/>
    <col min="2578" max="2578" width="9.28515625" bestFit="1" customWidth="1"/>
    <col min="2579" max="2579" width="9.7109375" bestFit="1" customWidth="1"/>
    <col min="2580" max="2580" width="9.28515625" bestFit="1" customWidth="1"/>
    <col min="2815" max="2815" width="12" customWidth="1"/>
    <col min="2816" max="2816" width="16.7109375" customWidth="1"/>
    <col min="2817" max="2817" width="10.7109375" customWidth="1"/>
    <col min="2818" max="2818" width="7.5703125" customWidth="1"/>
    <col min="2819" max="2819" width="9.5703125" customWidth="1"/>
    <col min="2820" max="2820" width="8.42578125" customWidth="1"/>
    <col min="2821" max="2821" width="8.140625" customWidth="1"/>
    <col min="2822" max="2822" width="12.85546875" customWidth="1"/>
    <col min="2823" max="2823" width="9.7109375" customWidth="1"/>
    <col min="2824" max="2824" width="6.7109375" customWidth="1"/>
    <col min="2825" max="2825" width="12.7109375" bestFit="1" customWidth="1"/>
    <col min="2826" max="2826" width="9.28515625" bestFit="1" customWidth="1"/>
    <col min="2827" max="2827" width="11.5703125" bestFit="1" customWidth="1"/>
    <col min="2828" max="2828" width="9.5703125" bestFit="1" customWidth="1"/>
    <col min="2829" max="2829" width="9.5703125" customWidth="1"/>
    <col min="2830" max="2831" width="9.42578125" customWidth="1"/>
    <col min="2832" max="2832" width="11.5703125" bestFit="1" customWidth="1"/>
    <col min="2833" max="2833" width="11.42578125" customWidth="1"/>
    <col min="2834" max="2834" width="9.28515625" bestFit="1" customWidth="1"/>
    <col min="2835" max="2835" width="9.7109375" bestFit="1" customWidth="1"/>
    <col min="2836" max="2836" width="9.28515625" bestFit="1" customWidth="1"/>
    <col min="3071" max="3071" width="12" customWidth="1"/>
    <col min="3072" max="3072" width="16.7109375" customWidth="1"/>
    <col min="3073" max="3073" width="10.7109375" customWidth="1"/>
    <col min="3074" max="3074" width="7.5703125" customWidth="1"/>
    <col min="3075" max="3075" width="9.5703125" customWidth="1"/>
    <col min="3076" max="3076" width="8.42578125" customWidth="1"/>
    <col min="3077" max="3077" width="8.140625" customWidth="1"/>
    <col min="3078" max="3078" width="12.85546875" customWidth="1"/>
    <col min="3079" max="3079" width="9.7109375" customWidth="1"/>
    <col min="3080" max="3080" width="6.7109375" customWidth="1"/>
    <col min="3081" max="3081" width="12.7109375" bestFit="1" customWidth="1"/>
    <col min="3082" max="3082" width="9.28515625" bestFit="1" customWidth="1"/>
    <col min="3083" max="3083" width="11.5703125" bestFit="1" customWidth="1"/>
    <col min="3084" max="3084" width="9.5703125" bestFit="1" customWidth="1"/>
    <col min="3085" max="3085" width="9.5703125" customWidth="1"/>
    <col min="3086" max="3087" width="9.42578125" customWidth="1"/>
    <col min="3088" max="3088" width="11.5703125" bestFit="1" customWidth="1"/>
    <col min="3089" max="3089" width="11.42578125" customWidth="1"/>
    <col min="3090" max="3090" width="9.28515625" bestFit="1" customWidth="1"/>
    <col min="3091" max="3091" width="9.7109375" bestFit="1" customWidth="1"/>
    <col min="3092" max="3092" width="9.28515625" bestFit="1" customWidth="1"/>
    <col min="3327" max="3327" width="12" customWidth="1"/>
    <col min="3328" max="3328" width="16.7109375" customWidth="1"/>
    <col min="3329" max="3329" width="10.7109375" customWidth="1"/>
    <col min="3330" max="3330" width="7.5703125" customWidth="1"/>
    <col min="3331" max="3331" width="9.5703125" customWidth="1"/>
    <col min="3332" max="3332" width="8.42578125" customWidth="1"/>
    <col min="3333" max="3333" width="8.140625" customWidth="1"/>
    <col min="3334" max="3334" width="12.85546875" customWidth="1"/>
    <col min="3335" max="3335" width="9.7109375" customWidth="1"/>
    <col min="3336" max="3336" width="6.7109375" customWidth="1"/>
    <col min="3337" max="3337" width="12.7109375" bestFit="1" customWidth="1"/>
    <col min="3338" max="3338" width="9.28515625" bestFit="1" customWidth="1"/>
    <col min="3339" max="3339" width="11.5703125" bestFit="1" customWidth="1"/>
    <col min="3340" max="3340" width="9.5703125" bestFit="1" customWidth="1"/>
    <col min="3341" max="3341" width="9.5703125" customWidth="1"/>
    <col min="3342" max="3343" width="9.42578125" customWidth="1"/>
    <col min="3344" max="3344" width="11.5703125" bestFit="1" customWidth="1"/>
    <col min="3345" max="3345" width="11.42578125" customWidth="1"/>
    <col min="3346" max="3346" width="9.28515625" bestFit="1" customWidth="1"/>
    <col min="3347" max="3347" width="9.7109375" bestFit="1" customWidth="1"/>
    <col min="3348" max="3348" width="9.28515625" bestFit="1" customWidth="1"/>
    <col min="3583" max="3583" width="12" customWidth="1"/>
    <col min="3584" max="3584" width="16.7109375" customWidth="1"/>
    <col min="3585" max="3585" width="10.7109375" customWidth="1"/>
    <col min="3586" max="3586" width="7.5703125" customWidth="1"/>
    <col min="3587" max="3587" width="9.5703125" customWidth="1"/>
    <col min="3588" max="3588" width="8.42578125" customWidth="1"/>
    <col min="3589" max="3589" width="8.140625" customWidth="1"/>
    <col min="3590" max="3590" width="12.85546875" customWidth="1"/>
    <col min="3591" max="3591" width="9.7109375" customWidth="1"/>
    <col min="3592" max="3592" width="6.7109375" customWidth="1"/>
    <col min="3593" max="3593" width="12.7109375" bestFit="1" customWidth="1"/>
    <col min="3594" max="3594" width="9.28515625" bestFit="1" customWidth="1"/>
    <col min="3595" max="3595" width="11.5703125" bestFit="1" customWidth="1"/>
    <col min="3596" max="3596" width="9.5703125" bestFit="1" customWidth="1"/>
    <col min="3597" max="3597" width="9.5703125" customWidth="1"/>
    <col min="3598" max="3599" width="9.42578125" customWidth="1"/>
    <col min="3600" max="3600" width="11.5703125" bestFit="1" customWidth="1"/>
    <col min="3601" max="3601" width="11.42578125" customWidth="1"/>
    <col min="3602" max="3602" width="9.28515625" bestFit="1" customWidth="1"/>
    <col min="3603" max="3603" width="9.7109375" bestFit="1" customWidth="1"/>
    <col min="3604" max="3604" width="9.28515625" bestFit="1" customWidth="1"/>
    <col min="3839" max="3839" width="12" customWidth="1"/>
    <col min="3840" max="3840" width="16.7109375" customWidth="1"/>
    <col min="3841" max="3841" width="10.7109375" customWidth="1"/>
    <col min="3842" max="3842" width="7.5703125" customWidth="1"/>
    <col min="3843" max="3843" width="9.5703125" customWidth="1"/>
    <col min="3844" max="3844" width="8.42578125" customWidth="1"/>
    <col min="3845" max="3845" width="8.140625" customWidth="1"/>
    <col min="3846" max="3846" width="12.85546875" customWidth="1"/>
    <col min="3847" max="3847" width="9.7109375" customWidth="1"/>
    <col min="3848" max="3848" width="6.7109375" customWidth="1"/>
    <col min="3849" max="3849" width="12.7109375" bestFit="1" customWidth="1"/>
    <col min="3850" max="3850" width="9.28515625" bestFit="1" customWidth="1"/>
    <col min="3851" max="3851" width="11.5703125" bestFit="1" customWidth="1"/>
    <col min="3852" max="3852" width="9.5703125" bestFit="1" customWidth="1"/>
    <col min="3853" max="3853" width="9.5703125" customWidth="1"/>
    <col min="3854" max="3855" width="9.42578125" customWidth="1"/>
    <col min="3856" max="3856" width="11.5703125" bestFit="1" customWidth="1"/>
    <col min="3857" max="3857" width="11.42578125" customWidth="1"/>
    <col min="3858" max="3858" width="9.28515625" bestFit="1" customWidth="1"/>
    <col min="3859" max="3859" width="9.7109375" bestFit="1" customWidth="1"/>
    <col min="3860" max="3860" width="9.28515625" bestFit="1" customWidth="1"/>
    <col min="4095" max="4095" width="12" customWidth="1"/>
    <col min="4096" max="4096" width="16.7109375" customWidth="1"/>
    <col min="4097" max="4097" width="10.7109375" customWidth="1"/>
    <col min="4098" max="4098" width="7.5703125" customWidth="1"/>
    <col min="4099" max="4099" width="9.5703125" customWidth="1"/>
    <col min="4100" max="4100" width="8.42578125" customWidth="1"/>
    <col min="4101" max="4101" width="8.140625" customWidth="1"/>
    <col min="4102" max="4102" width="12.85546875" customWidth="1"/>
    <col min="4103" max="4103" width="9.7109375" customWidth="1"/>
    <col min="4104" max="4104" width="6.7109375" customWidth="1"/>
    <col min="4105" max="4105" width="12.7109375" bestFit="1" customWidth="1"/>
    <col min="4106" max="4106" width="9.28515625" bestFit="1" customWidth="1"/>
    <col min="4107" max="4107" width="11.5703125" bestFit="1" customWidth="1"/>
    <col min="4108" max="4108" width="9.5703125" bestFit="1" customWidth="1"/>
    <col min="4109" max="4109" width="9.5703125" customWidth="1"/>
    <col min="4110" max="4111" width="9.42578125" customWidth="1"/>
    <col min="4112" max="4112" width="11.5703125" bestFit="1" customWidth="1"/>
    <col min="4113" max="4113" width="11.42578125" customWidth="1"/>
    <col min="4114" max="4114" width="9.28515625" bestFit="1" customWidth="1"/>
    <col min="4115" max="4115" width="9.7109375" bestFit="1" customWidth="1"/>
    <col min="4116" max="4116" width="9.28515625" bestFit="1" customWidth="1"/>
    <col min="4351" max="4351" width="12" customWidth="1"/>
    <col min="4352" max="4352" width="16.7109375" customWidth="1"/>
    <col min="4353" max="4353" width="10.7109375" customWidth="1"/>
    <col min="4354" max="4354" width="7.5703125" customWidth="1"/>
    <col min="4355" max="4355" width="9.5703125" customWidth="1"/>
    <col min="4356" max="4356" width="8.42578125" customWidth="1"/>
    <col min="4357" max="4357" width="8.140625" customWidth="1"/>
    <col min="4358" max="4358" width="12.85546875" customWidth="1"/>
    <col min="4359" max="4359" width="9.7109375" customWidth="1"/>
    <col min="4360" max="4360" width="6.7109375" customWidth="1"/>
    <col min="4361" max="4361" width="12.7109375" bestFit="1" customWidth="1"/>
    <col min="4362" max="4362" width="9.28515625" bestFit="1" customWidth="1"/>
    <col min="4363" max="4363" width="11.5703125" bestFit="1" customWidth="1"/>
    <col min="4364" max="4364" width="9.5703125" bestFit="1" customWidth="1"/>
    <col min="4365" max="4365" width="9.5703125" customWidth="1"/>
    <col min="4366" max="4367" width="9.42578125" customWidth="1"/>
    <col min="4368" max="4368" width="11.5703125" bestFit="1" customWidth="1"/>
    <col min="4369" max="4369" width="11.42578125" customWidth="1"/>
    <col min="4370" max="4370" width="9.28515625" bestFit="1" customWidth="1"/>
    <col min="4371" max="4371" width="9.7109375" bestFit="1" customWidth="1"/>
    <col min="4372" max="4372" width="9.28515625" bestFit="1" customWidth="1"/>
    <col min="4607" max="4607" width="12" customWidth="1"/>
    <col min="4608" max="4608" width="16.7109375" customWidth="1"/>
    <col min="4609" max="4609" width="10.7109375" customWidth="1"/>
    <col min="4610" max="4610" width="7.5703125" customWidth="1"/>
    <col min="4611" max="4611" width="9.5703125" customWidth="1"/>
    <col min="4612" max="4612" width="8.42578125" customWidth="1"/>
    <col min="4613" max="4613" width="8.140625" customWidth="1"/>
    <col min="4614" max="4614" width="12.85546875" customWidth="1"/>
    <col min="4615" max="4615" width="9.7109375" customWidth="1"/>
    <col min="4616" max="4616" width="6.7109375" customWidth="1"/>
    <col min="4617" max="4617" width="12.7109375" bestFit="1" customWidth="1"/>
    <col min="4618" max="4618" width="9.28515625" bestFit="1" customWidth="1"/>
    <col min="4619" max="4619" width="11.5703125" bestFit="1" customWidth="1"/>
    <col min="4620" max="4620" width="9.5703125" bestFit="1" customWidth="1"/>
    <col min="4621" max="4621" width="9.5703125" customWidth="1"/>
    <col min="4622" max="4623" width="9.42578125" customWidth="1"/>
    <col min="4624" max="4624" width="11.5703125" bestFit="1" customWidth="1"/>
    <col min="4625" max="4625" width="11.42578125" customWidth="1"/>
    <col min="4626" max="4626" width="9.28515625" bestFit="1" customWidth="1"/>
    <col min="4627" max="4627" width="9.7109375" bestFit="1" customWidth="1"/>
    <col min="4628" max="4628" width="9.28515625" bestFit="1" customWidth="1"/>
    <col min="4863" max="4863" width="12" customWidth="1"/>
    <col min="4864" max="4864" width="16.7109375" customWidth="1"/>
    <col min="4865" max="4865" width="10.7109375" customWidth="1"/>
    <col min="4866" max="4866" width="7.5703125" customWidth="1"/>
    <col min="4867" max="4867" width="9.5703125" customWidth="1"/>
    <col min="4868" max="4868" width="8.42578125" customWidth="1"/>
    <col min="4869" max="4869" width="8.140625" customWidth="1"/>
    <col min="4870" max="4870" width="12.85546875" customWidth="1"/>
    <col min="4871" max="4871" width="9.7109375" customWidth="1"/>
    <col min="4872" max="4872" width="6.7109375" customWidth="1"/>
    <col min="4873" max="4873" width="12.7109375" bestFit="1" customWidth="1"/>
    <col min="4874" max="4874" width="9.28515625" bestFit="1" customWidth="1"/>
    <col min="4875" max="4875" width="11.5703125" bestFit="1" customWidth="1"/>
    <col min="4876" max="4876" width="9.5703125" bestFit="1" customWidth="1"/>
    <col min="4877" max="4877" width="9.5703125" customWidth="1"/>
    <col min="4878" max="4879" width="9.42578125" customWidth="1"/>
    <col min="4880" max="4880" width="11.5703125" bestFit="1" customWidth="1"/>
    <col min="4881" max="4881" width="11.42578125" customWidth="1"/>
    <col min="4882" max="4882" width="9.28515625" bestFit="1" customWidth="1"/>
    <col min="4883" max="4883" width="9.7109375" bestFit="1" customWidth="1"/>
    <col min="4884" max="4884" width="9.28515625" bestFit="1" customWidth="1"/>
    <col min="5119" max="5119" width="12" customWidth="1"/>
    <col min="5120" max="5120" width="16.7109375" customWidth="1"/>
    <col min="5121" max="5121" width="10.7109375" customWidth="1"/>
    <col min="5122" max="5122" width="7.5703125" customWidth="1"/>
    <col min="5123" max="5123" width="9.5703125" customWidth="1"/>
    <col min="5124" max="5124" width="8.42578125" customWidth="1"/>
    <col min="5125" max="5125" width="8.140625" customWidth="1"/>
    <col min="5126" max="5126" width="12.85546875" customWidth="1"/>
    <col min="5127" max="5127" width="9.7109375" customWidth="1"/>
    <col min="5128" max="5128" width="6.7109375" customWidth="1"/>
    <col min="5129" max="5129" width="12.7109375" bestFit="1" customWidth="1"/>
    <col min="5130" max="5130" width="9.28515625" bestFit="1" customWidth="1"/>
    <col min="5131" max="5131" width="11.5703125" bestFit="1" customWidth="1"/>
    <col min="5132" max="5132" width="9.5703125" bestFit="1" customWidth="1"/>
    <col min="5133" max="5133" width="9.5703125" customWidth="1"/>
    <col min="5134" max="5135" width="9.42578125" customWidth="1"/>
    <col min="5136" max="5136" width="11.5703125" bestFit="1" customWidth="1"/>
    <col min="5137" max="5137" width="11.42578125" customWidth="1"/>
    <col min="5138" max="5138" width="9.28515625" bestFit="1" customWidth="1"/>
    <col min="5139" max="5139" width="9.7109375" bestFit="1" customWidth="1"/>
    <col min="5140" max="5140" width="9.28515625" bestFit="1" customWidth="1"/>
    <col min="5375" max="5375" width="12" customWidth="1"/>
    <col min="5376" max="5376" width="16.7109375" customWidth="1"/>
    <col min="5377" max="5377" width="10.7109375" customWidth="1"/>
    <col min="5378" max="5378" width="7.5703125" customWidth="1"/>
    <col min="5379" max="5379" width="9.5703125" customWidth="1"/>
    <col min="5380" max="5380" width="8.42578125" customWidth="1"/>
    <col min="5381" max="5381" width="8.140625" customWidth="1"/>
    <col min="5382" max="5382" width="12.85546875" customWidth="1"/>
    <col min="5383" max="5383" width="9.7109375" customWidth="1"/>
    <col min="5384" max="5384" width="6.7109375" customWidth="1"/>
    <col min="5385" max="5385" width="12.7109375" bestFit="1" customWidth="1"/>
    <col min="5386" max="5386" width="9.28515625" bestFit="1" customWidth="1"/>
    <col min="5387" max="5387" width="11.5703125" bestFit="1" customWidth="1"/>
    <col min="5388" max="5388" width="9.5703125" bestFit="1" customWidth="1"/>
    <col min="5389" max="5389" width="9.5703125" customWidth="1"/>
    <col min="5390" max="5391" width="9.42578125" customWidth="1"/>
    <col min="5392" max="5392" width="11.5703125" bestFit="1" customWidth="1"/>
    <col min="5393" max="5393" width="11.42578125" customWidth="1"/>
    <col min="5394" max="5394" width="9.28515625" bestFit="1" customWidth="1"/>
    <col min="5395" max="5395" width="9.7109375" bestFit="1" customWidth="1"/>
    <col min="5396" max="5396" width="9.28515625" bestFit="1" customWidth="1"/>
    <col min="5631" max="5631" width="12" customWidth="1"/>
    <col min="5632" max="5632" width="16.7109375" customWidth="1"/>
    <col min="5633" max="5633" width="10.7109375" customWidth="1"/>
    <col min="5634" max="5634" width="7.5703125" customWidth="1"/>
    <col min="5635" max="5635" width="9.5703125" customWidth="1"/>
    <col min="5636" max="5636" width="8.42578125" customWidth="1"/>
    <col min="5637" max="5637" width="8.140625" customWidth="1"/>
    <col min="5638" max="5638" width="12.85546875" customWidth="1"/>
    <col min="5639" max="5639" width="9.7109375" customWidth="1"/>
    <col min="5640" max="5640" width="6.7109375" customWidth="1"/>
    <col min="5641" max="5641" width="12.7109375" bestFit="1" customWidth="1"/>
    <col min="5642" max="5642" width="9.28515625" bestFit="1" customWidth="1"/>
    <col min="5643" max="5643" width="11.5703125" bestFit="1" customWidth="1"/>
    <col min="5644" max="5644" width="9.5703125" bestFit="1" customWidth="1"/>
    <col min="5645" max="5645" width="9.5703125" customWidth="1"/>
    <col min="5646" max="5647" width="9.42578125" customWidth="1"/>
    <col min="5648" max="5648" width="11.5703125" bestFit="1" customWidth="1"/>
    <col min="5649" max="5649" width="11.42578125" customWidth="1"/>
    <col min="5650" max="5650" width="9.28515625" bestFit="1" customWidth="1"/>
    <col min="5651" max="5651" width="9.7109375" bestFit="1" customWidth="1"/>
    <col min="5652" max="5652" width="9.28515625" bestFit="1" customWidth="1"/>
    <col min="5887" max="5887" width="12" customWidth="1"/>
    <col min="5888" max="5888" width="16.7109375" customWidth="1"/>
    <col min="5889" max="5889" width="10.7109375" customWidth="1"/>
    <col min="5890" max="5890" width="7.5703125" customWidth="1"/>
    <col min="5891" max="5891" width="9.5703125" customWidth="1"/>
    <col min="5892" max="5892" width="8.42578125" customWidth="1"/>
    <col min="5893" max="5893" width="8.140625" customWidth="1"/>
    <col min="5894" max="5894" width="12.85546875" customWidth="1"/>
    <col min="5895" max="5895" width="9.7109375" customWidth="1"/>
    <col min="5896" max="5896" width="6.7109375" customWidth="1"/>
    <col min="5897" max="5897" width="12.7109375" bestFit="1" customWidth="1"/>
    <col min="5898" max="5898" width="9.28515625" bestFit="1" customWidth="1"/>
    <col min="5899" max="5899" width="11.5703125" bestFit="1" customWidth="1"/>
    <col min="5900" max="5900" width="9.5703125" bestFit="1" customWidth="1"/>
    <col min="5901" max="5901" width="9.5703125" customWidth="1"/>
    <col min="5902" max="5903" width="9.42578125" customWidth="1"/>
    <col min="5904" max="5904" width="11.5703125" bestFit="1" customWidth="1"/>
    <col min="5905" max="5905" width="11.42578125" customWidth="1"/>
    <col min="5906" max="5906" width="9.28515625" bestFit="1" customWidth="1"/>
    <col min="5907" max="5907" width="9.7109375" bestFit="1" customWidth="1"/>
    <col min="5908" max="5908" width="9.28515625" bestFit="1" customWidth="1"/>
    <col min="6143" max="6143" width="12" customWidth="1"/>
    <col min="6144" max="6144" width="16.7109375" customWidth="1"/>
    <col min="6145" max="6145" width="10.7109375" customWidth="1"/>
    <col min="6146" max="6146" width="7.5703125" customWidth="1"/>
    <col min="6147" max="6147" width="9.5703125" customWidth="1"/>
    <col min="6148" max="6148" width="8.42578125" customWidth="1"/>
    <col min="6149" max="6149" width="8.140625" customWidth="1"/>
    <col min="6150" max="6150" width="12.85546875" customWidth="1"/>
    <col min="6151" max="6151" width="9.7109375" customWidth="1"/>
    <col min="6152" max="6152" width="6.7109375" customWidth="1"/>
    <col min="6153" max="6153" width="12.7109375" bestFit="1" customWidth="1"/>
    <col min="6154" max="6154" width="9.28515625" bestFit="1" customWidth="1"/>
    <col min="6155" max="6155" width="11.5703125" bestFit="1" customWidth="1"/>
    <col min="6156" max="6156" width="9.5703125" bestFit="1" customWidth="1"/>
    <col min="6157" max="6157" width="9.5703125" customWidth="1"/>
    <col min="6158" max="6159" width="9.42578125" customWidth="1"/>
    <col min="6160" max="6160" width="11.5703125" bestFit="1" customWidth="1"/>
    <col min="6161" max="6161" width="11.42578125" customWidth="1"/>
    <col min="6162" max="6162" width="9.28515625" bestFit="1" customWidth="1"/>
    <col min="6163" max="6163" width="9.7109375" bestFit="1" customWidth="1"/>
    <col min="6164" max="6164" width="9.28515625" bestFit="1" customWidth="1"/>
    <col min="6399" max="6399" width="12" customWidth="1"/>
    <col min="6400" max="6400" width="16.7109375" customWidth="1"/>
    <col min="6401" max="6401" width="10.7109375" customWidth="1"/>
    <col min="6402" max="6402" width="7.5703125" customWidth="1"/>
    <col min="6403" max="6403" width="9.5703125" customWidth="1"/>
    <col min="6404" max="6404" width="8.42578125" customWidth="1"/>
    <col min="6405" max="6405" width="8.140625" customWidth="1"/>
    <col min="6406" max="6406" width="12.85546875" customWidth="1"/>
    <col min="6407" max="6407" width="9.7109375" customWidth="1"/>
    <col min="6408" max="6408" width="6.7109375" customWidth="1"/>
    <col min="6409" max="6409" width="12.7109375" bestFit="1" customWidth="1"/>
    <col min="6410" max="6410" width="9.28515625" bestFit="1" customWidth="1"/>
    <col min="6411" max="6411" width="11.5703125" bestFit="1" customWidth="1"/>
    <col min="6412" max="6412" width="9.5703125" bestFit="1" customWidth="1"/>
    <col min="6413" max="6413" width="9.5703125" customWidth="1"/>
    <col min="6414" max="6415" width="9.42578125" customWidth="1"/>
    <col min="6416" max="6416" width="11.5703125" bestFit="1" customWidth="1"/>
    <col min="6417" max="6417" width="11.42578125" customWidth="1"/>
    <col min="6418" max="6418" width="9.28515625" bestFit="1" customWidth="1"/>
    <col min="6419" max="6419" width="9.7109375" bestFit="1" customWidth="1"/>
    <col min="6420" max="6420" width="9.28515625" bestFit="1" customWidth="1"/>
    <col min="6655" max="6655" width="12" customWidth="1"/>
    <col min="6656" max="6656" width="16.7109375" customWidth="1"/>
    <col min="6657" max="6657" width="10.7109375" customWidth="1"/>
    <col min="6658" max="6658" width="7.5703125" customWidth="1"/>
    <col min="6659" max="6659" width="9.5703125" customWidth="1"/>
    <col min="6660" max="6660" width="8.42578125" customWidth="1"/>
    <col min="6661" max="6661" width="8.140625" customWidth="1"/>
    <col min="6662" max="6662" width="12.85546875" customWidth="1"/>
    <col min="6663" max="6663" width="9.7109375" customWidth="1"/>
    <col min="6664" max="6664" width="6.7109375" customWidth="1"/>
    <col min="6665" max="6665" width="12.7109375" bestFit="1" customWidth="1"/>
    <col min="6666" max="6666" width="9.28515625" bestFit="1" customWidth="1"/>
    <col min="6667" max="6667" width="11.5703125" bestFit="1" customWidth="1"/>
    <col min="6668" max="6668" width="9.5703125" bestFit="1" customWidth="1"/>
    <col min="6669" max="6669" width="9.5703125" customWidth="1"/>
    <col min="6670" max="6671" width="9.42578125" customWidth="1"/>
    <col min="6672" max="6672" width="11.5703125" bestFit="1" customWidth="1"/>
    <col min="6673" max="6673" width="11.42578125" customWidth="1"/>
    <col min="6674" max="6674" width="9.28515625" bestFit="1" customWidth="1"/>
    <col min="6675" max="6675" width="9.7109375" bestFit="1" customWidth="1"/>
    <col min="6676" max="6676" width="9.28515625" bestFit="1" customWidth="1"/>
    <col min="6911" max="6911" width="12" customWidth="1"/>
    <col min="6912" max="6912" width="16.7109375" customWidth="1"/>
    <col min="6913" max="6913" width="10.7109375" customWidth="1"/>
    <col min="6914" max="6914" width="7.5703125" customWidth="1"/>
    <col min="6915" max="6915" width="9.5703125" customWidth="1"/>
    <col min="6916" max="6916" width="8.42578125" customWidth="1"/>
    <col min="6917" max="6917" width="8.140625" customWidth="1"/>
    <col min="6918" max="6918" width="12.85546875" customWidth="1"/>
    <col min="6919" max="6919" width="9.7109375" customWidth="1"/>
    <col min="6920" max="6920" width="6.7109375" customWidth="1"/>
    <col min="6921" max="6921" width="12.7109375" bestFit="1" customWidth="1"/>
    <col min="6922" max="6922" width="9.28515625" bestFit="1" customWidth="1"/>
    <col min="6923" max="6923" width="11.5703125" bestFit="1" customWidth="1"/>
    <col min="6924" max="6924" width="9.5703125" bestFit="1" customWidth="1"/>
    <col min="6925" max="6925" width="9.5703125" customWidth="1"/>
    <col min="6926" max="6927" width="9.42578125" customWidth="1"/>
    <col min="6928" max="6928" width="11.5703125" bestFit="1" customWidth="1"/>
    <col min="6929" max="6929" width="11.42578125" customWidth="1"/>
    <col min="6930" max="6930" width="9.28515625" bestFit="1" customWidth="1"/>
    <col min="6931" max="6931" width="9.7109375" bestFit="1" customWidth="1"/>
    <col min="6932" max="6932" width="9.28515625" bestFit="1" customWidth="1"/>
    <col min="7167" max="7167" width="12" customWidth="1"/>
    <col min="7168" max="7168" width="16.7109375" customWidth="1"/>
    <col min="7169" max="7169" width="10.7109375" customWidth="1"/>
    <col min="7170" max="7170" width="7.5703125" customWidth="1"/>
    <col min="7171" max="7171" width="9.5703125" customWidth="1"/>
    <col min="7172" max="7172" width="8.42578125" customWidth="1"/>
    <col min="7173" max="7173" width="8.140625" customWidth="1"/>
    <col min="7174" max="7174" width="12.85546875" customWidth="1"/>
    <col min="7175" max="7175" width="9.7109375" customWidth="1"/>
    <col min="7176" max="7176" width="6.7109375" customWidth="1"/>
    <col min="7177" max="7177" width="12.7109375" bestFit="1" customWidth="1"/>
    <col min="7178" max="7178" width="9.28515625" bestFit="1" customWidth="1"/>
    <col min="7179" max="7179" width="11.5703125" bestFit="1" customWidth="1"/>
    <col min="7180" max="7180" width="9.5703125" bestFit="1" customWidth="1"/>
    <col min="7181" max="7181" width="9.5703125" customWidth="1"/>
    <col min="7182" max="7183" width="9.42578125" customWidth="1"/>
    <col min="7184" max="7184" width="11.5703125" bestFit="1" customWidth="1"/>
    <col min="7185" max="7185" width="11.42578125" customWidth="1"/>
    <col min="7186" max="7186" width="9.28515625" bestFit="1" customWidth="1"/>
    <col min="7187" max="7187" width="9.7109375" bestFit="1" customWidth="1"/>
    <col min="7188" max="7188" width="9.28515625" bestFit="1" customWidth="1"/>
    <col min="7423" max="7423" width="12" customWidth="1"/>
    <col min="7424" max="7424" width="16.7109375" customWidth="1"/>
    <col min="7425" max="7425" width="10.7109375" customWidth="1"/>
    <col min="7426" max="7426" width="7.5703125" customWidth="1"/>
    <col min="7427" max="7427" width="9.5703125" customWidth="1"/>
    <col min="7428" max="7428" width="8.42578125" customWidth="1"/>
    <col min="7429" max="7429" width="8.140625" customWidth="1"/>
    <col min="7430" max="7430" width="12.85546875" customWidth="1"/>
    <col min="7431" max="7431" width="9.7109375" customWidth="1"/>
    <col min="7432" max="7432" width="6.7109375" customWidth="1"/>
    <col min="7433" max="7433" width="12.7109375" bestFit="1" customWidth="1"/>
    <col min="7434" max="7434" width="9.28515625" bestFit="1" customWidth="1"/>
    <col min="7435" max="7435" width="11.5703125" bestFit="1" customWidth="1"/>
    <col min="7436" max="7436" width="9.5703125" bestFit="1" customWidth="1"/>
    <col min="7437" max="7437" width="9.5703125" customWidth="1"/>
    <col min="7438" max="7439" width="9.42578125" customWidth="1"/>
    <col min="7440" max="7440" width="11.5703125" bestFit="1" customWidth="1"/>
    <col min="7441" max="7441" width="11.42578125" customWidth="1"/>
    <col min="7442" max="7442" width="9.28515625" bestFit="1" customWidth="1"/>
    <col min="7443" max="7443" width="9.7109375" bestFit="1" customWidth="1"/>
    <col min="7444" max="7444" width="9.28515625" bestFit="1" customWidth="1"/>
    <col min="7679" max="7679" width="12" customWidth="1"/>
    <col min="7680" max="7680" width="16.7109375" customWidth="1"/>
    <col min="7681" max="7681" width="10.7109375" customWidth="1"/>
    <col min="7682" max="7682" width="7.5703125" customWidth="1"/>
    <col min="7683" max="7683" width="9.5703125" customWidth="1"/>
    <col min="7684" max="7684" width="8.42578125" customWidth="1"/>
    <col min="7685" max="7685" width="8.140625" customWidth="1"/>
    <col min="7686" max="7686" width="12.85546875" customWidth="1"/>
    <col min="7687" max="7687" width="9.7109375" customWidth="1"/>
    <col min="7688" max="7688" width="6.7109375" customWidth="1"/>
    <col min="7689" max="7689" width="12.7109375" bestFit="1" customWidth="1"/>
    <col min="7690" max="7690" width="9.28515625" bestFit="1" customWidth="1"/>
    <col min="7691" max="7691" width="11.5703125" bestFit="1" customWidth="1"/>
    <col min="7692" max="7692" width="9.5703125" bestFit="1" customWidth="1"/>
    <col min="7693" max="7693" width="9.5703125" customWidth="1"/>
    <col min="7694" max="7695" width="9.42578125" customWidth="1"/>
    <col min="7696" max="7696" width="11.5703125" bestFit="1" customWidth="1"/>
    <col min="7697" max="7697" width="11.42578125" customWidth="1"/>
    <col min="7698" max="7698" width="9.28515625" bestFit="1" customWidth="1"/>
    <col min="7699" max="7699" width="9.7109375" bestFit="1" customWidth="1"/>
    <col min="7700" max="7700" width="9.28515625" bestFit="1" customWidth="1"/>
    <col min="7935" max="7935" width="12" customWidth="1"/>
    <col min="7936" max="7936" width="16.7109375" customWidth="1"/>
    <col min="7937" max="7937" width="10.7109375" customWidth="1"/>
    <col min="7938" max="7938" width="7.5703125" customWidth="1"/>
    <col min="7939" max="7939" width="9.5703125" customWidth="1"/>
    <col min="7940" max="7940" width="8.42578125" customWidth="1"/>
    <col min="7941" max="7941" width="8.140625" customWidth="1"/>
    <col min="7942" max="7942" width="12.85546875" customWidth="1"/>
    <col min="7943" max="7943" width="9.7109375" customWidth="1"/>
    <col min="7944" max="7944" width="6.7109375" customWidth="1"/>
    <col min="7945" max="7945" width="12.7109375" bestFit="1" customWidth="1"/>
    <col min="7946" max="7946" width="9.28515625" bestFit="1" customWidth="1"/>
    <col min="7947" max="7947" width="11.5703125" bestFit="1" customWidth="1"/>
    <col min="7948" max="7948" width="9.5703125" bestFit="1" customWidth="1"/>
    <col min="7949" max="7949" width="9.5703125" customWidth="1"/>
    <col min="7950" max="7951" width="9.42578125" customWidth="1"/>
    <col min="7952" max="7952" width="11.5703125" bestFit="1" customWidth="1"/>
    <col min="7953" max="7953" width="11.42578125" customWidth="1"/>
    <col min="7954" max="7954" width="9.28515625" bestFit="1" customWidth="1"/>
    <col min="7955" max="7955" width="9.7109375" bestFit="1" customWidth="1"/>
    <col min="7956" max="7956" width="9.28515625" bestFit="1" customWidth="1"/>
    <col min="8191" max="8191" width="12" customWidth="1"/>
    <col min="8192" max="8192" width="16.7109375" customWidth="1"/>
    <col min="8193" max="8193" width="10.7109375" customWidth="1"/>
    <col min="8194" max="8194" width="7.5703125" customWidth="1"/>
    <col min="8195" max="8195" width="9.5703125" customWidth="1"/>
    <col min="8196" max="8196" width="8.42578125" customWidth="1"/>
    <col min="8197" max="8197" width="8.140625" customWidth="1"/>
    <col min="8198" max="8198" width="12.85546875" customWidth="1"/>
    <col min="8199" max="8199" width="9.7109375" customWidth="1"/>
    <col min="8200" max="8200" width="6.7109375" customWidth="1"/>
    <col min="8201" max="8201" width="12.7109375" bestFit="1" customWidth="1"/>
    <col min="8202" max="8202" width="9.28515625" bestFit="1" customWidth="1"/>
    <col min="8203" max="8203" width="11.5703125" bestFit="1" customWidth="1"/>
    <col min="8204" max="8204" width="9.5703125" bestFit="1" customWidth="1"/>
    <col min="8205" max="8205" width="9.5703125" customWidth="1"/>
    <col min="8206" max="8207" width="9.42578125" customWidth="1"/>
    <col min="8208" max="8208" width="11.5703125" bestFit="1" customWidth="1"/>
    <col min="8209" max="8209" width="11.42578125" customWidth="1"/>
    <col min="8210" max="8210" width="9.28515625" bestFit="1" customWidth="1"/>
    <col min="8211" max="8211" width="9.7109375" bestFit="1" customWidth="1"/>
    <col min="8212" max="8212" width="9.28515625" bestFit="1" customWidth="1"/>
    <col min="8447" max="8447" width="12" customWidth="1"/>
    <col min="8448" max="8448" width="16.7109375" customWidth="1"/>
    <col min="8449" max="8449" width="10.7109375" customWidth="1"/>
    <col min="8450" max="8450" width="7.5703125" customWidth="1"/>
    <col min="8451" max="8451" width="9.5703125" customWidth="1"/>
    <col min="8452" max="8452" width="8.42578125" customWidth="1"/>
    <col min="8453" max="8453" width="8.140625" customWidth="1"/>
    <col min="8454" max="8454" width="12.85546875" customWidth="1"/>
    <col min="8455" max="8455" width="9.7109375" customWidth="1"/>
    <col min="8456" max="8456" width="6.7109375" customWidth="1"/>
    <col min="8457" max="8457" width="12.7109375" bestFit="1" customWidth="1"/>
    <col min="8458" max="8458" width="9.28515625" bestFit="1" customWidth="1"/>
    <col min="8459" max="8459" width="11.5703125" bestFit="1" customWidth="1"/>
    <col min="8460" max="8460" width="9.5703125" bestFit="1" customWidth="1"/>
    <col min="8461" max="8461" width="9.5703125" customWidth="1"/>
    <col min="8462" max="8463" width="9.42578125" customWidth="1"/>
    <col min="8464" max="8464" width="11.5703125" bestFit="1" customWidth="1"/>
    <col min="8465" max="8465" width="11.42578125" customWidth="1"/>
    <col min="8466" max="8466" width="9.28515625" bestFit="1" customWidth="1"/>
    <col min="8467" max="8467" width="9.7109375" bestFit="1" customWidth="1"/>
    <col min="8468" max="8468" width="9.28515625" bestFit="1" customWidth="1"/>
    <col min="8703" max="8703" width="12" customWidth="1"/>
    <col min="8704" max="8704" width="16.7109375" customWidth="1"/>
    <col min="8705" max="8705" width="10.7109375" customWidth="1"/>
    <col min="8706" max="8706" width="7.5703125" customWidth="1"/>
    <col min="8707" max="8707" width="9.5703125" customWidth="1"/>
    <col min="8708" max="8708" width="8.42578125" customWidth="1"/>
    <col min="8709" max="8709" width="8.140625" customWidth="1"/>
    <col min="8710" max="8710" width="12.85546875" customWidth="1"/>
    <col min="8711" max="8711" width="9.7109375" customWidth="1"/>
    <col min="8712" max="8712" width="6.7109375" customWidth="1"/>
    <col min="8713" max="8713" width="12.7109375" bestFit="1" customWidth="1"/>
    <col min="8714" max="8714" width="9.28515625" bestFit="1" customWidth="1"/>
    <col min="8715" max="8715" width="11.5703125" bestFit="1" customWidth="1"/>
    <col min="8716" max="8716" width="9.5703125" bestFit="1" customWidth="1"/>
    <col min="8717" max="8717" width="9.5703125" customWidth="1"/>
    <col min="8718" max="8719" width="9.42578125" customWidth="1"/>
    <col min="8720" max="8720" width="11.5703125" bestFit="1" customWidth="1"/>
    <col min="8721" max="8721" width="11.42578125" customWidth="1"/>
    <col min="8722" max="8722" width="9.28515625" bestFit="1" customWidth="1"/>
    <col min="8723" max="8723" width="9.7109375" bestFit="1" customWidth="1"/>
    <col min="8724" max="8724" width="9.28515625" bestFit="1" customWidth="1"/>
    <col min="8959" max="8959" width="12" customWidth="1"/>
    <col min="8960" max="8960" width="16.7109375" customWidth="1"/>
    <col min="8961" max="8961" width="10.7109375" customWidth="1"/>
    <col min="8962" max="8962" width="7.5703125" customWidth="1"/>
    <col min="8963" max="8963" width="9.5703125" customWidth="1"/>
    <col min="8964" max="8964" width="8.42578125" customWidth="1"/>
    <col min="8965" max="8965" width="8.140625" customWidth="1"/>
    <col min="8966" max="8966" width="12.85546875" customWidth="1"/>
    <col min="8967" max="8967" width="9.7109375" customWidth="1"/>
    <col min="8968" max="8968" width="6.7109375" customWidth="1"/>
    <col min="8969" max="8969" width="12.7109375" bestFit="1" customWidth="1"/>
    <col min="8970" max="8970" width="9.28515625" bestFit="1" customWidth="1"/>
    <col min="8971" max="8971" width="11.5703125" bestFit="1" customWidth="1"/>
    <col min="8972" max="8972" width="9.5703125" bestFit="1" customWidth="1"/>
    <col min="8973" max="8973" width="9.5703125" customWidth="1"/>
    <col min="8974" max="8975" width="9.42578125" customWidth="1"/>
    <col min="8976" max="8976" width="11.5703125" bestFit="1" customWidth="1"/>
    <col min="8977" max="8977" width="11.42578125" customWidth="1"/>
    <col min="8978" max="8978" width="9.28515625" bestFit="1" customWidth="1"/>
    <col min="8979" max="8979" width="9.7109375" bestFit="1" customWidth="1"/>
    <col min="8980" max="8980" width="9.28515625" bestFit="1" customWidth="1"/>
    <col min="9215" max="9215" width="12" customWidth="1"/>
    <col min="9216" max="9216" width="16.7109375" customWidth="1"/>
    <col min="9217" max="9217" width="10.7109375" customWidth="1"/>
    <col min="9218" max="9218" width="7.5703125" customWidth="1"/>
    <col min="9219" max="9219" width="9.5703125" customWidth="1"/>
    <col min="9220" max="9220" width="8.42578125" customWidth="1"/>
    <col min="9221" max="9221" width="8.140625" customWidth="1"/>
    <col min="9222" max="9222" width="12.85546875" customWidth="1"/>
    <col min="9223" max="9223" width="9.7109375" customWidth="1"/>
    <col min="9224" max="9224" width="6.7109375" customWidth="1"/>
    <col min="9225" max="9225" width="12.7109375" bestFit="1" customWidth="1"/>
    <col min="9226" max="9226" width="9.28515625" bestFit="1" customWidth="1"/>
    <col min="9227" max="9227" width="11.5703125" bestFit="1" customWidth="1"/>
    <col min="9228" max="9228" width="9.5703125" bestFit="1" customWidth="1"/>
    <col min="9229" max="9229" width="9.5703125" customWidth="1"/>
    <col min="9230" max="9231" width="9.42578125" customWidth="1"/>
    <col min="9232" max="9232" width="11.5703125" bestFit="1" customWidth="1"/>
    <col min="9233" max="9233" width="11.42578125" customWidth="1"/>
    <col min="9234" max="9234" width="9.28515625" bestFit="1" customWidth="1"/>
    <col min="9235" max="9235" width="9.7109375" bestFit="1" customWidth="1"/>
    <col min="9236" max="9236" width="9.28515625" bestFit="1" customWidth="1"/>
    <col min="9471" max="9471" width="12" customWidth="1"/>
    <col min="9472" max="9472" width="16.7109375" customWidth="1"/>
    <col min="9473" max="9473" width="10.7109375" customWidth="1"/>
    <col min="9474" max="9474" width="7.5703125" customWidth="1"/>
    <col min="9475" max="9475" width="9.5703125" customWidth="1"/>
    <col min="9476" max="9476" width="8.42578125" customWidth="1"/>
    <col min="9477" max="9477" width="8.140625" customWidth="1"/>
    <col min="9478" max="9478" width="12.85546875" customWidth="1"/>
    <col min="9479" max="9479" width="9.7109375" customWidth="1"/>
    <col min="9480" max="9480" width="6.7109375" customWidth="1"/>
    <col min="9481" max="9481" width="12.7109375" bestFit="1" customWidth="1"/>
    <col min="9482" max="9482" width="9.28515625" bestFit="1" customWidth="1"/>
    <col min="9483" max="9483" width="11.5703125" bestFit="1" customWidth="1"/>
    <col min="9484" max="9484" width="9.5703125" bestFit="1" customWidth="1"/>
    <col min="9485" max="9485" width="9.5703125" customWidth="1"/>
    <col min="9486" max="9487" width="9.42578125" customWidth="1"/>
    <col min="9488" max="9488" width="11.5703125" bestFit="1" customWidth="1"/>
    <col min="9489" max="9489" width="11.42578125" customWidth="1"/>
    <col min="9490" max="9490" width="9.28515625" bestFit="1" customWidth="1"/>
    <col min="9491" max="9491" width="9.7109375" bestFit="1" customWidth="1"/>
    <col min="9492" max="9492" width="9.28515625" bestFit="1" customWidth="1"/>
    <col min="9727" max="9727" width="12" customWidth="1"/>
    <col min="9728" max="9728" width="16.7109375" customWidth="1"/>
    <col min="9729" max="9729" width="10.7109375" customWidth="1"/>
    <col min="9730" max="9730" width="7.5703125" customWidth="1"/>
    <col min="9731" max="9731" width="9.5703125" customWidth="1"/>
    <col min="9732" max="9732" width="8.42578125" customWidth="1"/>
    <col min="9733" max="9733" width="8.140625" customWidth="1"/>
    <col min="9734" max="9734" width="12.85546875" customWidth="1"/>
    <col min="9735" max="9735" width="9.7109375" customWidth="1"/>
    <col min="9736" max="9736" width="6.7109375" customWidth="1"/>
    <col min="9737" max="9737" width="12.7109375" bestFit="1" customWidth="1"/>
    <col min="9738" max="9738" width="9.28515625" bestFit="1" customWidth="1"/>
    <col min="9739" max="9739" width="11.5703125" bestFit="1" customWidth="1"/>
    <col min="9740" max="9740" width="9.5703125" bestFit="1" customWidth="1"/>
    <col min="9741" max="9741" width="9.5703125" customWidth="1"/>
    <col min="9742" max="9743" width="9.42578125" customWidth="1"/>
    <col min="9744" max="9744" width="11.5703125" bestFit="1" customWidth="1"/>
    <col min="9745" max="9745" width="11.42578125" customWidth="1"/>
    <col min="9746" max="9746" width="9.28515625" bestFit="1" customWidth="1"/>
    <col min="9747" max="9747" width="9.7109375" bestFit="1" customWidth="1"/>
    <col min="9748" max="9748" width="9.28515625" bestFit="1" customWidth="1"/>
    <col min="9983" max="9983" width="12" customWidth="1"/>
    <col min="9984" max="9984" width="16.7109375" customWidth="1"/>
    <col min="9985" max="9985" width="10.7109375" customWidth="1"/>
    <col min="9986" max="9986" width="7.5703125" customWidth="1"/>
    <col min="9987" max="9987" width="9.5703125" customWidth="1"/>
    <col min="9988" max="9988" width="8.42578125" customWidth="1"/>
    <col min="9989" max="9989" width="8.140625" customWidth="1"/>
    <col min="9990" max="9990" width="12.85546875" customWidth="1"/>
    <col min="9991" max="9991" width="9.7109375" customWidth="1"/>
    <col min="9992" max="9992" width="6.7109375" customWidth="1"/>
    <col min="9993" max="9993" width="12.7109375" bestFit="1" customWidth="1"/>
    <col min="9994" max="9994" width="9.28515625" bestFit="1" customWidth="1"/>
    <col min="9995" max="9995" width="11.5703125" bestFit="1" customWidth="1"/>
    <col min="9996" max="9996" width="9.5703125" bestFit="1" customWidth="1"/>
    <col min="9997" max="9997" width="9.5703125" customWidth="1"/>
    <col min="9998" max="9999" width="9.42578125" customWidth="1"/>
    <col min="10000" max="10000" width="11.5703125" bestFit="1" customWidth="1"/>
    <col min="10001" max="10001" width="11.42578125" customWidth="1"/>
    <col min="10002" max="10002" width="9.28515625" bestFit="1" customWidth="1"/>
    <col min="10003" max="10003" width="9.7109375" bestFit="1" customWidth="1"/>
    <col min="10004" max="10004" width="9.28515625" bestFit="1" customWidth="1"/>
    <col min="10239" max="10239" width="12" customWidth="1"/>
    <col min="10240" max="10240" width="16.7109375" customWidth="1"/>
    <col min="10241" max="10241" width="10.7109375" customWidth="1"/>
    <col min="10242" max="10242" width="7.5703125" customWidth="1"/>
    <col min="10243" max="10243" width="9.5703125" customWidth="1"/>
    <col min="10244" max="10244" width="8.42578125" customWidth="1"/>
    <col min="10245" max="10245" width="8.140625" customWidth="1"/>
    <col min="10246" max="10246" width="12.85546875" customWidth="1"/>
    <col min="10247" max="10247" width="9.7109375" customWidth="1"/>
    <col min="10248" max="10248" width="6.7109375" customWidth="1"/>
    <col min="10249" max="10249" width="12.7109375" bestFit="1" customWidth="1"/>
    <col min="10250" max="10250" width="9.28515625" bestFit="1" customWidth="1"/>
    <col min="10251" max="10251" width="11.5703125" bestFit="1" customWidth="1"/>
    <col min="10252" max="10252" width="9.5703125" bestFit="1" customWidth="1"/>
    <col min="10253" max="10253" width="9.5703125" customWidth="1"/>
    <col min="10254" max="10255" width="9.42578125" customWidth="1"/>
    <col min="10256" max="10256" width="11.5703125" bestFit="1" customWidth="1"/>
    <col min="10257" max="10257" width="11.42578125" customWidth="1"/>
    <col min="10258" max="10258" width="9.28515625" bestFit="1" customWidth="1"/>
    <col min="10259" max="10259" width="9.7109375" bestFit="1" customWidth="1"/>
    <col min="10260" max="10260" width="9.28515625" bestFit="1" customWidth="1"/>
    <col min="10495" max="10495" width="12" customWidth="1"/>
    <col min="10496" max="10496" width="16.7109375" customWidth="1"/>
    <col min="10497" max="10497" width="10.7109375" customWidth="1"/>
    <col min="10498" max="10498" width="7.5703125" customWidth="1"/>
    <col min="10499" max="10499" width="9.5703125" customWidth="1"/>
    <col min="10500" max="10500" width="8.42578125" customWidth="1"/>
    <col min="10501" max="10501" width="8.140625" customWidth="1"/>
    <col min="10502" max="10502" width="12.85546875" customWidth="1"/>
    <col min="10503" max="10503" width="9.7109375" customWidth="1"/>
    <col min="10504" max="10504" width="6.7109375" customWidth="1"/>
    <col min="10505" max="10505" width="12.7109375" bestFit="1" customWidth="1"/>
    <col min="10506" max="10506" width="9.28515625" bestFit="1" customWidth="1"/>
    <col min="10507" max="10507" width="11.5703125" bestFit="1" customWidth="1"/>
    <col min="10508" max="10508" width="9.5703125" bestFit="1" customWidth="1"/>
    <col min="10509" max="10509" width="9.5703125" customWidth="1"/>
    <col min="10510" max="10511" width="9.42578125" customWidth="1"/>
    <col min="10512" max="10512" width="11.5703125" bestFit="1" customWidth="1"/>
    <col min="10513" max="10513" width="11.42578125" customWidth="1"/>
    <col min="10514" max="10514" width="9.28515625" bestFit="1" customWidth="1"/>
    <col min="10515" max="10515" width="9.7109375" bestFit="1" customWidth="1"/>
    <col min="10516" max="10516" width="9.28515625" bestFit="1" customWidth="1"/>
    <col min="10751" max="10751" width="12" customWidth="1"/>
    <col min="10752" max="10752" width="16.7109375" customWidth="1"/>
    <col min="10753" max="10753" width="10.7109375" customWidth="1"/>
    <col min="10754" max="10754" width="7.5703125" customWidth="1"/>
    <col min="10755" max="10755" width="9.5703125" customWidth="1"/>
    <col min="10756" max="10756" width="8.42578125" customWidth="1"/>
    <col min="10757" max="10757" width="8.140625" customWidth="1"/>
    <col min="10758" max="10758" width="12.85546875" customWidth="1"/>
    <col min="10759" max="10759" width="9.7109375" customWidth="1"/>
    <col min="10760" max="10760" width="6.7109375" customWidth="1"/>
    <col min="10761" max="10761" width="12.7109375" bestFit="1" customWidth="1"/>
    <col min="10762" max="10762" width="9.28515625" bestFit="1" customWidth="1"/>
    <col min="10763" max="10763" width="11.5703125" bestFit="1" customWidth="1"/>
    <col min="10764" max="10764" width="9.5703125" bestFit="1" customWidth="1"/>
    <col min="10765" max="10765" width="9.5703125" customWidth="1"/>
    <col min="10766" max="10767" width="9.42578125" customWidth="1"/>
    <col min="10768" max="10768" width="11.5703125" bestFit="1" customWidth="1"/>
    <col min="10769" max="10769" width="11.42578125" customWidth="1"/>
    <col min="10770" max="10770" width="9.28515625" bestFit="1" customWidth="1"/>
    <col min="10771" max="10771" width="9.7109375" bestFit="1" customWidth="1"/>
    <col min="10772" max="10772" width="9.28515625" bestFit="1" customWidth="1"/>
    <col min="11007" max="11007" width="12" customWidth="1"/>
    <col min="11008" max="11008" width="16.7109375" customWidth="1"/>
    <col min="11009" max="11009" width="10.7109375" customWidth="1"/>
    <col min="11010" max="11010" width="7.5703125" customWidth="1"/>
    <col min="11011" max="11011" width="9.5703125" customWidth="1"/>
    <col min="11012" max="11012" width="8.42578125" customWidth="1"/>
    <col min="11013" max="11013" width="8.140625" customWidth="1"/>
    <col min="11014" max="11014" width="12.85546875" customWidth="1"/>
    <col min="11015" max="11015" width="9.7109375" customWidth="1"/>
    <col min="11016" max="11016" width="6.7109375" customWidth="1"/>
    <col min="11017" max="11017" width="12.7109375" bestFit="1" customWidth="1"/>
    <col min="11018" max="11018" width="9.28515625" bestFit="1" customWidth="1"/>
    <col min="11019" max="11019" width="11.5703125" bestFit="1" customWidth="1"/>
    <col min="11020" max="11020" width="9.5703125" bestFit="1" customWidth="1"/>
    <col min="11021" max="11021" width="9.5703125" customWidth="1"/>
    <col min="11022" max="11023" width="9.42578125" customWidth="1"/>
    <col min="11024" max="11024" width="11.5703125" bestFit="1" customWidth="1"/>
    <col min="11025" max="11025" width="11.42578125" customWidth="1"/>
    <col min="11026" max="11026" width="9.28515625" bestFit="1" customWidth="1"/>
    <col min="11027" max="11027" width="9.7109375" bestFit="1" customWidth="1"/>
    <col min="11028" max="11028" width="9.28515625" bestFit="1" customWidth="1"/>
    <col min="11263" max="11263" width="12" customWidth="1"/>
    <col min="11264" max="11264" width="16.7109375" customWidth="1"/>
    <col min="11265" max="11265" width="10.7109375" customWidth="1"/>
    <col min="11266" max="11266" width="7.5703125" customWidth="1"/>
    <col min="11267" max="11267" width="9.5703125" customWidth="1"/>
    <col min="11268" max="11268" width="8.42578125" customWidth="1"/>
    <col min="11269" max="11269" width="8.140625" customWidth="1"/>
    <col min="11270" max="11270" width="12.85546875" customWidth="1"/>
    <col min="11271" max="11271" width="9.7109375" customWidth="1"/>
    <col min="11272" max="11272" width="6.7109375" customWidth="1"/>
    <col min="11273" max="11273" width="12.7109375" bestFit="1" customWidth="1"/>
    <col min="11274" max="11274" width="9.28515625" bestFit="1" customWidth="1"/>
    <col min="11275" max="11275" width="11.5703125" bestFit="1" customWidth="1"/>
    <col min="11276" max="11276" width="9.5703125" bestFit="1" customWidth="1"/>
    <col min="11277" max="11277" width="9.5703125" customWidth="1"/>
    <col min="11278" max="11279" width="9.42578125" customWidth="1"/>
    <col min="11280" max="11280" width="11.5703125" bestFit="1" customWidth="1"/>
    <col min="11281" max="11281" width="11.42578125" customWidth="1"/>
    <col min="11282" max="11282" width="9.28515625" bestFit="1" customWidth="1"/>
    <col min="11283" max="11283" width="9.7109375" bestFit="1" customWidth="1"/>
    <col min="11284" max="11284" width="9.28515625" bestFit="1" customWidth="1"/>
    <col min="11519" max="11519" width="12" customWidth="1"/>
    <col min="11520" max="11520" width="16.7109375" customWidth="1"/>
    <col min="11521" max="11521" width="10.7109375" customWidth="1"/>
    <col min="11522" max="11522" width="7.5703125" customWidth="1"/>
    <col min="11523" max="11523" width="9.5703125" customWidth="1"/>
    <col min="11524" max="11524" width="8.42578125" customWidth="1"/>
    <col min="11525" max="11525" width="8.140625" customWidth="1"/>
    <col min="11526" max="11526" width="12.85546875" customWidth="1"/>
    <col min="11527" max="11527" width="9.7109375" customWidth="1"/>
    <col min="11528" max="11528" width="6.7109375" customWidth="1"/>
    <col min="11529" max="11529" width="12.7109375" bestFit="1" customWidth="1"/>
    <col min="11530" max="11530" width="9.28515625" bestFit="1" customWidth="1"/>
    <col min="11531" max="11531" width="11.5703125" bestFit="1" customWidth="1"/>
    <col min="11532" max="11532" width="9.5703125" bestFit="1" customWidth="1"/>
    <col min="11533" max="11533" width="9.5703125" customWidth="1"/>
    <col min="11534" max="11535" width="9.42578125" customWidth="1"/>
    <col min="11536" max="11536" width="11.5703125" bestFit="1" customWidth="1"/>
    <col min="11537" max="11537" width="11.42578125" customWidth="1"/>
    <col min="11538" max="11538" width="9.28515625" bestFit="1" customWidth="1"/>
    <col min="11539" max="11539" width="9.7109375" bestFit="1" customWidth="1"/>
    <col min="11540" max="11540" width="9.28515625" bestFit="1" customWidth="1"/>
    <col min="11775" max="11775" width="12" customWidth="1"/>
    <col min="11776" max="11776" width="16.7109375" customWidth="1"/>
    <col min="11777" max="11777" width="10.7109375" customWidth="1"/>
    <col min="11778" max="11778" width="7.5703125" customWidth="1"/>
    <col min="11779" max="11779" width="9.5703125" customWidth="1"/>
    <col min="11780" max="11780" width="8.42578125" customWidth="1"/>
    <col min="11781" max="11781" width="8.140625" customWidth="1"/>
    <col min="11782" max="11782" width="12.85546875" customWidth="1"/>
    <col min="11783" max="11783" width="9.7109375" customWidth="1"/>
    <col min="11784" max="11784" width="6.7109375" customWidth="1"/>
    <col min="11785" max="11785" width="12.7109375" bestFit="1" customWidth="1"/>
    <col min="11786" max="11786" width="9.28515625" bestFit="1" customWidth="1"/>
    <col min="11787" max="11787" width="11.5703125" bestFit="1" customWidth="1"/>
    <col min="11788" max="11788" width="9.5703125" bestFit="1" customWidth="1"/>
    <col min="11789" max="11789" width="9.5703125" customWidth="1"/>
    <col min="11790" max="11791" width="9.42578125" customWidth="1"/>
    <col min="11792" max="11792" width="11.5703125" bestFit="1" customWidth="1"/>
    <col min="11793" max="11793" width="11.42578125" customWidth="1"/>
    <col min="11794" max="11794" width="9.28515625" bestFit="1" customWidth="1"/>
    <col min="11795" max="11795" width="9.7109375" bestFit="1" customWidth="1"/>
    <col min="11796" max="11796" width="9.28515625" bestFit="1" customWidth="1"/>
    <col min="12031" max="12031" width="12" customWidth="1"/>
    <col min="12032" max="12032" width="16.7109375" customWidth="1"/>
    <col min="12033" max="12033" width="10.7109375" customWidth="1"/>
    <col min="12034" max="12034" width="7.5703125" customWidth="1"/>
    <col min="12035" max="12035" width="9.5703125" customWidth="1"/>
    <col min="12036" max="12036" width="8.42578125" customWidth="1"/>
    <col min="12037" max="12037" width="8.140625" customWidth="1"/>
    <col min="12038" max="12038" width="12.85546875" customWidth="1"/>
    <col min="12039" max="12039" width="9.7109375" customWidth="1"/>
    <col min="12040" max="12040" width="6.7109375" customWidth="1"/>
    <col min="12041" max="12041" width="12.7109375" bestFit="1" customWidth="1"/>
    <col min="12042" max="12042" width="9.28515625" bestFit="1" customWidth="1"/>
    <col min="12043" max="12043" width="11.5703125" bestFit="1" customWidth="1"/>
    <col min="12044" max="12044" width="9.5703125" bestFit="1" customWidth="1"/>
    <col min="12045" max="12045" width="9.5703125" customWidth="1"/>
    <col min="12046" max="12047" width="9.42578125" customWidth="1"/>
    <col min="12048" max="12048" width="11.5703125" bestFit="1" customWidth="1"/>
    <col min="12049" max="12049" width="11.42578125" customWidth="1"/>
    <col min="12050" max="12050" width="9.28515625" bestFit="1" customWidth="1"/>
    <col min="12051" max="12051" width="9.7109375" bestFit="1" customWidth="1"/>
    <col min="12052" max="12052" width="9.28515625" bestFit="1" customWidth="1"/>
    <col min="12287" max="12287" width="12" customWidth="1"/>
    <col min="12288" max="12288" width="16.7109375" customWidth="1"/>
    <col min="12289" max="12289" width="10.7109375" customWidth="1"/>
    <col min="12290" max="12290" width="7.5703125" customWidth="1"/>
    <col min="12291" max="12291" width="9.5703125" customWidth="1"/>
    <col min="12292" max="12292" width="8.42578125" customWidth="1"/>
    <col min="12293" max="12293" width="8.140625" customWidth="1"/>
    <col min="12294" max="12294" width="12.85546875" customWidth="1"/>
    <col min="12295" max="12295" width="9.7109375" customWidth="1"/>
    <col min="12296" max="12296" width="6.7109375" customWidth="1"/>
    <col min="12297" max="12297" width="12.7109375" bestFit="1" customWidth="1"/>
    <col min="12298" max="12298" width="9.28515625" bestFit="1" customWidth="1"/>
    <col min="12299" max="12299" width="11.5703125" bestFit="1" customWidth="1"/>
    <col min="12300" max="12300" width="9.5703125" bestFit="1" customWidth="1"/>
    <col min="12301" max="12301" width="9.5703125" customWidth="1"/>
    <col min="12302" max="12303" width="9.42578125" customWidth="1"/>
    <col min="12304" max="12304" width="11.5703125" bestFit="1" customWidth="1"/>
    <col min="12305" max="12305" width="11.42578125" customWidth="1"/>
    <col min="12306" max="12306" width="9.28515625" bestFit="1" customWidth="1"/>
    <col min="12307" max="12307" width="9.7109375" bestFit="1" customWidth="1"/>
    <col min="12308" max="12308" width="9.28515625" bestFit="1" customWidth="1"/>
    <col min="12543" max="12543" width="12" customWidth="1"/>
    <col min="12544" max="12544" width="16.7109375" customWidth="1"/>
    <col min="12545" max="12545" width="10.7109375" customWidth="1"/>
    <col min="12546" max="12546" width="7.5703125" customWidth="1"/>
    <col min="12547" max="12547" width="9.5703125" customWidth="1"/>
    <col min="12548" max="12548" width="8.42578125" customWidth="1"/>
    <col min="12549" max="12549" width="8.140625" customWidth="1"/>
    <col min="12550" max="12550" width="12.85546875" customWidth="1"/>
    <col min="12551" max="12551" width="9.7109375" customWidth="1"/>
    <col min="12552" max="12552" width="6.7109375" customWidth="1"/>
    <col min="12553" max="12553" width="12.7109375" bestFit="1" customWidth="1"/>
    <col min="12554" max="12554" width="9.28515625" bestFit="1" customWidth="1"/>
    <col min="12555" max="12555" width="11.5703125" bestFit="1" customWidth="1"/>
    <col min="12556" max="12556" width="9.5703125" bestFit="1" customWidth="1"/>
    <col min="12557" max="12557" width="9.5703125" customWidth="1"/>
    <col min="12558" max="12559" width="9.42578125" customWidth="1"/>
    <col min="12560" max="12560" width="11.5703125" bestFit="1" customWidth="1"/>
    <col min="12561" max="12561" width="11.42578125" customWidth="1"/>
    <col min="12562" max="12562" width="9.28515625" bestFit="1" customWidth="1"/>
    <col min="12563" max="12563" width="9.7109375" bestFit="1" customWidth="1"/>
    <col min="12564" max="12564" width="9.28515625" bestFit="1" customWidth="1"/>
    <col min="12799" max="12799" width="12" customWidth="1"/>
    <col min="12800" max="12800" width="16.7109375" customWidth="1"/>
    <col min="12801" max="12801" width="10.7109375" customWidth="1"/>
    <col min="12802" max="12802" width="7.5703125" customWidth="1"/>
    <col min="12803" max="12803" width="9.5703125" customWidth="1"/>
    <col min="12804" max="12804" width="8.42578125" customWidth="1"/>
    <col min="12805" max="12805" width="8.140625" customWidth="1"/>
    <col min="12806" max="12806" width="12.85546875" customWidth="1"/>
    <col min="12807" max="12807" width="9.7109375" customWidth="1"/>
    <col min="12808" max="12808" width="6.7109375" customWidth="1"/>
    <col min="12809" max="12809" width="12.7109375" bestFit="1" customWidth="1"/>
    <col min="12810" max="12810" width="9.28515625" bestFit="1" customWidth="1"/>
    <col min="12811" max="12811" width="11.5703125" bestFit="1" customWidth="1"/>
    <col min="12812" max="12812" width="9.5703125" bestFit="1" customWidth="1"/>
    <col min="12813" max="12813" width="9.5703125" customWidth="1"/>
    <col min="12814" max="12815" width="9.42578125" customWidth="1"/>
    <col min="12816" max="12816" width="11.5703125" bestFit="1" customWidth="1"/>
    <col min="12817" max="12817" width="11.42578125" customWidth="1"/>
    <col min="12818" max="12818" width="9.28515625" bestFit="1" customWidth="1"/>
    <col min="12819" max="12819" width="9.7109375" bestFit="1" customWidth="1"/>
    <col min="12820" max="12820" width="9.28515625" bestFit="1" customWidth="1"/>
    <col min="13055" max="13055" width="12" customWidth="1"/>
    <col min="13056" max="13056" width="16.7109375" customWidth="1"/>
    <col min="13057" max="13057" width="10.7109375" customWidth="1"/>
    <col min="13058" max="13058" width="7.5703125" customWidth="1"/>
    <col min="13059" max="13059" width="9.5703125" customWidth="1"/>
    <col min="13060" max="13060" width="8.42578125" customWidth="1"/>
    <col min="13061" max="13061" width="8.140625" customWidth="1"/>
    <col min="13062" max="13062" width="12.85546875" customWidth="1"/>
    <col min="13063" max="13063" width="9.7109375" customWidth="1"/>
    <col min="13064" max="13064" width="6.7109375" customWidth="1"/>
    <col min="13065" max="13065" width="12.7109375" bestFit="1" customWidth="1"/>
    <col min="13066" max="13066" width="9.28515625" bestFit="1" customWidth="1"/>
    <col min="13067" max="13067" width="11.5703125" bestFit="1" customWidth="1"/>
    <col min="13068" max="13068" width="9.5703125" bestFit="1" customWidth="1"/>
    <col min="13069" max="13069" width="9.5703125" customWidth="1"/>
    <col min="13070" max="13071" width="9.42578125" customWidth="1"/>
    <col min="13072" max="13072" width="11.5703125" bestFit="1" customWidth="1"/>
    <col min="13073" max="13073" width="11.42578125" customWidth="1"/>
    <col min="13074" max="13074" width="9.28515625" bestFit="1" customWidth="1"/>
    <col min="13075" max="13075" width="9.7109375" bestFit="1" customWidth="1"/>
    <col min="13076" max="13076" width="9.28515625" bestFit="1" customWidth="1"/>
    <col min="13311" max="13311" width="12" customWidth="1"/>
    <col min="13312" max="13312" width="16.7109375" customWidth="1"/>
    <col min="13313" max="13313" width="10.7109375" customWidth="1"/>
    <col min="13314" max="13314" width="7.5703125" customWidth="1"/>
    <col min="13315" max="13315" width="9.5703125" customWidth="1"/>
    <col min="13316" max="13316" width="8.42578125" customWidth="1"/>
    <col min="13317" max="13317" width="8.140625" customWidth="1"/>
    <col min="13318" max="13318" width="12.85546875" customWidth="1"/>
    <col min="13319" max="13319" width="9.7109375" customWidth="1"/>
    <col min="13320" max="13320" width="6.7109375" customWidth="1"/>
    <col min="13321" max="13321" width="12.7109375" bestFit="1" customWidth="1"/>
    <col min="13322" max="13322" width="9.28515625" bestFit="1" customWidth="1"/>
    <col min="13323" max="13323" width="11.5703125" bestFit="1" customWidth="1"/>
    <col min="13324" max="13324" width="9.5703125" bestFit="1" customWidth="1"/>
    <col min="13325" max="13325" width="9.5703125" customWidth="1"/>
    <col min="13326" max="13327" width="9.42578125" customWidth="1"/>
    <col min="13328" max="13328" width="11.5703125" bestFit="1" customWidth="1"/>
    <col min="13329" max="13329" width="11.42578125" customWidth="1"/>
    <col min="13330" max="13330" width="9.28515625" bestFit="1" customWidth="1"/>
    <col min="13331" max="13331" width="9.7109375" bestFit="1" customWidth="1"/>
    <col min="13332" max="13332" width="9.28515625" bestFit="1" customWidth="1"/>
    <col min="13567" max="13567" width="12" customWidth="1"/>
    <col min="13568" max="13568" width="16.7109375" customWidth="1"/>
    <col min="13569" max="13569" width="10.7109375" customWidth="1"/>
    <col min="13570" max="13570" width="7.5703125" customWidth="1"/>
    <col min="13571" max="13571" width="9.5703125" customWidth="1"/>
    <col min="13572" max="13572" width="8.42578125" customWidth="1"/>
    <col min="13573" max="13573" width="8.140625" customWidth="1"/>
    <col min="13574" max="13574" width="12.85546875" customWidth="1"/>
    <col min="13575" max="13575" width="9.7109375" customWidth="1"/>
    <col min="13576" max="13576" width="6.7109375" customWidth="1"/>
    <col min="13577" max="13577" width="12.7109375" bestFit="1" customWidth="1"/>
    <col min="13578" max="13578" width="9.28515625" bestFit="1" customWidth="1"/>
    <col min="13579" max="13579" width="11.5703125" bestFit="1" customWidth="1"/>
    <col min="13580" max="13580" width="9.5703125" bestFit="1" customWidth="1"/>
    <col min="13581" max="13581" width="9.5703125" customWidth="1"/>
    <col min="13582" max="13583" width="9.42578125" customWidth="1"/>
    <col min="13584" max="13584" width="11.5703125" bestFit="1" customWidth="1"/>
    <col min="13585" max="13585" width="11.42578125" customWidth="1"/>
    <col min="13586" max="13586" width="9.28515625" bestFit="1" customWidth="1"/>
    <col min="13587" max="13587" width="9.7109375" bestFit="1" customWidth="1"/>
    <col min="13588" max="13588" width="9.28515625" bestFit="1" customWidth="1"/>
    <col min="13823" max="13823" width="12" customWidth="1"/>
    <col min="13824" max="13824" width="16.7109375" customWidth="1"/>
    <col min="13825" max="13825" width="10.7109375" customWidth="1"/>
    <col min="13826" max="13826" width="7.5703125" customWidth="1"/>
    <col min="13827" max="13827" width="9.5703125" customWidth="1"/>
    <col min="13828" max="13828" width="8.42578125" customWidth="1"/>
    <col min="13829" max="13829" width="8.140625" customWidth="1"/>
    <col min="13830" max="13830" width="12.85546875" customWidth="1"/>
    <col min="13831" max="13831" width="9.7109375" customWidth="1"/>
    <col min="13832" max="13832" width="6.7109375" customWidth="1"/>
    <col min="13833" max="13833" width="12.7109375" bestFit="1" customWidth="1"/>
    <col min="13834" max="13834" width="9.28515625" bestFit="1" customWidth="1"/>
    <col min="13835" max="13835" width="11.5703125" bestFit="1" customWidth="1"/>
    <col min="13836" max="13836" width="9.5703125" bestFit="1" customWidth="1"/>
    <col min="13837" max="13837" width="9.5703125" customWidth="1"/>
    <col min="13838" max="13839" width="9.42578125" customWidth="1"/>
    <col min="13840" max="13840" width="11.5703125" bestFit="1" customWidth="1"/>
    <col min="13841" max="13841" width="11.42578125" customWidth="1"/>
    <col min="13842" max="13842" width="9.28515625" bestFit="1" customWidth="1"/>
    <col min="13843" max="13843" width="9.7109375" bestFit="1" customWidth="1"/>
    <col min="13844" max="13844" width="9.28515625" bestFit="1" customWidth="1"/>
    <col min="14079" max="14079" width="12" customWidth="1"/>
    <col min="14080" max="14080" width="16.7109375" customWidth="1"/>
    <col min="14081" max="14081" width="10.7109375" customWidth="1"/>
    <col min="14082" max="14082" width="7.5703125" customWidth="1"/>
    <col min="14083" max="14083" width="9.5703125" customWidth="1"/>
    <col min="14084" max="14084" width="8.42578125" customWidth="1"/>
    <col min="14085" max="14085" width="8.140625" customWidth="1"/>
    <col min="14086" max="14086" width="12.85546875" customWidth="1"/>
    <col min="14087" max="14087" width="9.7109375" customWidth="1"/>
    <col min="14088" max="14088" width="6.7109375" customWidth="1"/>
    <col min="14089" max="14089" width="12.7109375" bestFit="1" customWidth="1"/>
    <col min="14090" max="14090" width="9.28515625" bestFit="1" customWidth="1"/>
    <col min="14091" max="14091" width="11.5703125" bestFit="1" customWidth="1"/>
    <col min="14092" max="14092" width="9.5703125" bestFit="1" customWidth="1"/>
    <col min="14093" max="14093" width="9.5703125" customWidth="1"/>
    <col min="14094" max="14095" width="9.42578125" customWidth="1"/>
    <col min="14096" max="14096" width="11.5703125" bestFit="1" customWidth="1"/>
    <col min="14097" max="14097" width="11.42578125" customWidth="1"/>
    <col min="14098" max="14098" width="9.28515625" bestFit="1" customWidth="1"/>
    <col min="14099" max="14099" width="9.7109375" bestFit="1" customWidth="1"/>
    <col min="14100" max="14100" width="9.28515625" bestFit="1" customWidth="1"/>
    <col min="14335" max="14335" width="12" customWidth="1"/>
    <col min="14336" max="14336" width="16.7109375" customWidth="1"/>
    <col min="14337" max="14337" width="10.7109375" customWidth="1"/>
    <col min="14338" max="14338" width="7.5703125" customWidth="1"/>
    <col min="14339" max="14339" width="9.5703125" customWidth="1"/>
    <col min="14340" max="14340" width="8.42578125" customWidth="1"/>
    <col min="14341" max="14341" width="8.140625" customWidth="1"/>
    <col min="14342" max="14342" width="12.85546875" customWidth="1"/>
    <col min="14343" max="14343" width="9.7109375" customWidth="1"/>
    <col min="14344" max="14344" width="6.7109375" customWidth="1"/>
    <col min="14345" max="14345" width="12.7109375" bestFit="1" customWidth="1"/>
    <col min="14346" max="14346" width="9.28515625" bestFit="1" customWidth="1"/>
    <col min="14347" max="14347" width="11.5703125" bestFit="1" customWidth="1"/>
    <col min="14348" max="14348" width="9.5703125" bestFit="1" customWidth="1"/>
    <col min="14349" max="14349" width="9.5703125" customWidth="1"/>
    <col min="14350" max="14351" width="9.42578125" customWidth="1"/>
    <col min="14352" max="14352" width="11.5703125" bestFit="1" customWidth="1"/>
    <col min="14353" max="14353" width="11.42578125" customWidth="1"/>
    <col min="14354" max="14354" width="9.28515625" bestFit="1" customWidth="1"/>
    <col min="14355" max="14355" width="9.7109375" bestFit="1" customWidth="1"/>
    <col min="14356" max="14356" width="9.28515625" bestFit="1" customWidth="1"/>
    <col min="14591" max="14591" width="12" customWidth="1"/>
    <col min="14592" max="14592" width="16.7109375" customWidth="1"/>
    <col min="14593" max="14593" width="10.7109375" customWidth="1"/>
    <col min="14594" max="14594" width="7.5703125" customWidth="1"/>
    <col min="14595" max="14595" width="9.5703125" customWidth="1"/>
    <col min="14596" max="14596" width="8.42578125" customWidth="1"/>
    <col min="14597" max="14597" width="8.140625" customWidth="1"/>
    <col min="14598" max="14598" width="12.85546875" customWidth="1"/>
    <col min="14599" max="14599" width="9.7109375" customWidth="1"/>
    <col min="14600" max="14600" width="6.7109375" customWidth="1"/>
    <col min="14601" max="14601" width="12.7109375" bestFit="1" customWidth="1"/>
    <col min="14602" max="14602" width="9.28515625" bestFit="1" customWidth="1"/>
    <col min="14603" max="14603" width="11.5703125" bestFit="1" customWidth="1"/>
    <col min="14604" max="14604" width="9.5703125" bestFit="1" customWidth="1"/>
    <col min="14605" max="14605" width="9.5703125" customWidth="1"/>
    <col min="14606" max="14607" width="9.42578125" customWidth="1"/>
    <col min="14608" max="14608" width="11.5703125" bestFit="1" customWidth="1"/>
    <col min="14609" max="14609" width="11.42578125" customWidth="1"/>
    <col min="14610" max="14610" width="9.28515625" bestFit="1" customWidth="1"/>
    <col min="14611" max="14611" width="9.7109375" bestFit="1" customWidth="1"/>
    <col min="14612" max="14612" width="9.28515625" bestFit="1" customWidth="1"/>
    <col min="14847" max="14847" width="12" customWidth="1"/>
    <col min="14848" max="14848" width="16.7109375" customWidth="1"/>
    <col min="14849" max="14849" width="10.7109375" customWidth="1"/>
    <col min="14850" max="14850" width="7.5703125" customWidth="1"/>
    <col min="14851" max="14851" width="9.5703125" customWidth="1"/>
    <col min="14852" max="14852" width="8.42578125" customWidth="1"/>
    <col min="14853" max="14853" width="8.140625" customWidth="1"/>
    <col min="14854" max="14854" width="12.85546875" customWidth="1"/>
    <col min="14855" max="14855" width="9.7109375" customWidth="1"/>
    <col min="14856" max="14856" width="6.7109375" customWidth="1"/>
    <col min="14857" max="14857" width="12.7109375" bestFit="1" customWidth="1"/>
    <col min="14858" max="14858" width="9.28515625" bestFit="1" customWidth="1"/>
    <col min="14859" max="14859" width="11.5703125" bestFit="1" customWidth="1"/>
    <col min="14860" max="14860" width="9.5703125" bestFit="1" customWidth="1"/>
    <col min="14861" max="14861" width="9.5703125" customWidth="1"/>
    <col min="14862" max="14863" width="9.42578125" customWidth="1"/>
    <col min="14864" max="14864" width="11.5703125" bestFit="1" customWidth="1"/>
    <col min="14865" max="14865" width="11.42578125" customWidth="1"/>
    <col min="14866" max="14866" width="9.28515625" bestFit="1" customWidth="1"/>
    <col min="14867" max="14867" width="9.7109375" bestFit="1" customWidth="1"/>
    <col min="14868" max="14868" width="9.28515625" bestFit="1" customWidth="1"/>
    <col min="15103" max="15103" width="12" customWidth="1"/>
    <col min="15104" max="15104" width="16.7109375" customWidth="1"/>
    <col min="15105" max="15105" width="10.7109375" customWidth="1"/>
    <col min="15106" max="15106" width="7.5703125" customWidth="1"/>
    <col min="15107" max="15107" width="9.5703125" customWidth="1"/>
    <col min="15108" max="15108" width="8.42578125" customWidth="1"/>
    <col min="15109" max="15109" width="8.140625" customWidth="1"/>
    <col min="15110" max="15110" width="12.85546875" customWidth="1"/>
    <col min="15111" max="15111" width="9.7109375" customWidth="1"/>
    <col min="15112" max="15112" width="6.7109375" customWidth="1"/>
    <col min="15113" max="15113" width="12.7109375" bestFit="1" customWidth="1"/>
    <col min="15114" max="15114" width="9.28515625" bestFit="1" customWidth="1"/>
    <col min="15115" max="15115" width="11.5703125" bestFit="1" customWidth="1"/>
    <col min="15116" max="15116" width="9.5703125" bestFit="1" customWidth="1"/>
    <col min="15117" max="15117" width="9.5703125" customWidth="1"/>
    <col min="15118" max="15119" width="9.42578125" customWidth="1"/>
    <col min="15120" max="15120" width="11.5703125" bestFit="1" customWidth="1"/>
    <col min="15121" max="15121" width="11.42578125" customWidth="1"/>
    <col min="15122" max="15122" width="9.28515625" bestFit="1" customWidth="1"/>
    <col min="15123" max="15123" width="9.7109375" bestFit="1" customWidth="1"/>
    <col min="15124" max="15124" width="9.28515625" bestFit="1" customWidth="1"/>
    <col min="15359" max="15359" width="12" customWidth="1"/>
    <col min="15360" max="15360" width="16.7109375" customWidth="1"/>
    <col min="15361" max="15361" width="10.7109375" customWidth="1"/>
    <col min="15362" max="15362" width="7.5703125" customWidth="1"/>
    <col min="15363" max="15363" width="9.5703125" customWidth="1"/>
    <col min="15364" max="15364" width="8.42578125" customWidth="1"/>
    <col min="15365" max="15365" width="8.140625" customWidth="1"/>
    <col min="15366" max="15366" width="12.85546875" customWidth="1"/>
    <col min="15367" max="15367" width="9.7109375" customWidth="1"/>
    <col min="15368" max="15368" width="6.7109375" customWidth="1"/>
    <col min="15369" max="15369" width="12.7109375" bestFit="1" customWidth="1"/>
    <col min="15370" max="15370" width="9.28515625" bestFit="1" customWidth="1"/>
    <col min="15371" max="15371" width="11.5703125" bestFit="1" customWidth="1"/>
    <col min="15372" max="15372" width="9.5703125" bestFit="1" customWidth="1"/>
    <col min="15373" max="15373" width="9.5703125" customWidth="1"/>
    <col min="15374" max="15375" width="9.42578125" customWidth="1"/>
    <col min="15376" max="15376" width="11.5703125" bestFit="1" customWidth="1"/>
    <col min="15377" max="15377" width="11.42578125" customWidth="1"/>
    <col min="15378" max="15378" width="9.28515625" bestFit="1" customWidth="1"/>
    <col min="15379" max="15379" width="9.7109375" bestFit="1" customWidth="1"/>
    <col min="15380" max="15380" width="9.28515625" bestFit="1" customWidth="1"/>
    <col min="15615" max="15615" width="12" customWidth="1"/>
    <col min="15616" max="15616" width="16.7109375" customWidth="1"/>
    <col min="15617" max="15617" width="10.7109375" customWidth="1"/>
    <col min="15618" max="15618" width="7.5703125" customWidth="1"/>
    <col min="15619" max="15619" width="9.5703125" customWidth="1"/>
    <col min="15620" max="15620" width="8.42578125" customWidth="1"/>
    <col min="15621" max="15621" width="8.140625" customWidth="1"/>
    <col min="15622" max="15622" width="12.85546875" customWidth="1"/>
    <col min="15623" max="15623" width="9.7109375" customWidth="1"/>
    <col min="15624" max="15624" width="6.7109375" customWidth="1"/>
    <col min="15625" max="15625" width="12.7109375" bestFit="1" customWidth="1"/>
    <col min="15626" max="15626" width="9.28515625" bestFit="1" customWidth="1"/>
    <col min="15627" max="15627" width="11.5703125" bestFit="1" customWidth="1"/>
    <col min="15628" max="15628" width="9.5703125" bestFit="1" customWidth="1"/>
    <col min="15629" max="15629" width="9.5703125" customWidth="1"/>
    <col min="15630" max="15631" width="9.42578125" customWidth="1"/>
    <col min="15632" max="15632" width="11.5703125" bestFit="1" customWidth="1"/>
    <col min="15633" max="15633" width="11.42578125" customWidth="1"/>
    <col min="15634" max="15634" width="9.28515625" bestFit="1" customWidth="1"/>
    <col min="15635" max="15635" width="9.7109375" bestFit="1" customWidth="1"/>
    <col min="15636" max="15636" width="9.28515625" bestFit="1" customWidth="1"/>
    <col min="15871" max="15871" width="12" customWidth="1"/>
    <col min="15872" max="15872" width="16.7109375" customWidth="1"/>
    <col min="15873" max="15873" width="10.7109375" customWidth="1"/>
    <col min="15874" max="15874" width="7.5703125" customWidth="1"/>
    <col min="15875" max="15875" width="9.5703125" customWidth="1"/>
    <col min="15876" max="15876" width="8.42578125" customWidth="1"/>
    <col min="15877" max="15877" width="8.140625" customWidth="1"/>
    <col min="15878" max="15878" width="12.85546875" customWidth="1"/>
    <col min="15879" max="15879" width="9.7109375" customWidth="1"/>
    <col min="15880" max="15880" width="6.7109375" customWidth="1"/>
    <col min="15881" max="15881" width="12.7109375" bestFit="1" customWidth="1"/>
    <col min="15882" max="15882" width="9.28515625" bestFit="1" customWidth="1"/>
    <col min="15883" max="15883" width="11.5703125" bestFit="1" customWidth="1"/>
    <col min="15884" max="15884" width="9.5703125" bestFit="1" customWidth="1"/>
    <col min="15885" max="15885" width="9.5703125" customWidth="1"/>
    <col min="15886" max="15887" width="9.42578125" customWidth="1"/>
    <col min="15888" max="15888" width="11.5703125" bestFit="1" customWidth="1"/>
    <col min="15889" max="15889" width="11.42578125" customWidth="1"/>
    <col min="15890" max="15890" width="9.28515625" bestFit="1" customWidth="1"/>
    <col min="15891" max="15891" width="9.7109375" bestFit="1" customWidth="1"/>
    <col min="15892" max="15892" width="9.28515625" bestFit="1" customWidth="1"/>
    <col min="16127" max="16127" width="12" customWidth="1"/>
    <col min="16128" max="16128" width="16.7109375" customWidth="1"/>
    <col min="16129" max="16129" width="10.7109375" customWidth="1"/>
    <col min="16130" max="16130" width="7.5703125" customWidth="1"/>
    <col min="16131" max="16131" width="9.5703125" customWidth="1"/>
    <col min="16132" max="16132" width="8.42578125" customWidth="1"/>
    <col min="16133" max="16133" width="8.140625" customWidth="1"/>
    <col min="16134" max="16134" width="12.85546875" customWidth="1"/>
    <col min="16135" max="16135" width="9.7109375" customWidth="1"/>
    <col min="16136" max="16136" width="6.7109375" customWidth="1"/>
    <col min="16137" max="16137" width="12.7109375" bestFit="1" customWidth="1"/>
    <col min="16138" max="16138" width="9.28515625" bestFit="1" customWidth="1"/>
    <col min="16139" max="16139" width="11.5703125" bestFit="1" customWidth="1"/>
    <col min="16140" max="16140" width="9.5703125" bestFit="1" customWidth="1"/>
    <col min="16141" max="16141" width="9.5703125" customWidth="1"/>
    <col min="16142" max="16143" width="9.42578125" customWidth="1"/>
    <col min="16144" max="16144" width="11.5703125" bestFit="1" customWidth="1"/>
    <col min="16145" max="16145" width="11.42578125" customWidth="1"/>
    <col min="16146" max="16146" width="9.28515625" bestFit="1" customWidth="1"/>
    <col min="16147" max="16147" width="9.7109375" bestFit="1" customWidth="1"/>
    <col min="16148" max="16148" width="9.28515625" bestFit="1" customWidth="1"/>
  </cols>
  <sheetData>
    <row r="2" spans="2:19" x14ac:dyDescent="0.25">
      <c r="B2" t="s">
        <v>60</v>
      </c>
    </row>
    <row r="3" spans="2:19" ht="15.75" thickBot="1" x14ac:dyDescent="0.3"/>
    <row r="4" spans="2:19" ht="15.75" thickBot="1" x14ac:dyDescent="0.3">
      <c r="B4" s="68" t="s">
        <v>61</v>
      </c>
      <c r="C4" s="58"/>
      <c r="D4" s="58"/>
      <c r="E4" s="58"/>
      <c r="F4" s="58"/>
      <c r="G4" s="58"/>
      <c r="H4" s="58"/>
      <c r="I4" s="58"/>
      <c r="J4" s="58"/>
      <c r="K4" s="58"/>
      <c r="L4" s="69"/>
    </row>
    <row r="5" spans="2:19" x14ac:dyDescent="0.25">
      <c r="B5" s="182" t="s">
        <v>62</v>
      </c>
      <c r="C5" s="184" t="s">
        <v>63</v>
      </c>
      <c r="D5" s="186" t="s">
        <v>64</v>
      </c>
      <c r="E5" s="187"/>
      <c r="F5" s="188"/>
      <c r="G5" s="186" t="s">
        <v>65</v>
      </c>
      <c r="H5" s="187"/>
      <c r="I5" s="188"/>
      <c r="J5" s="186" t="s">
        <v>66</v>
      </c>
      <c r="K5" s="187"/>
      <c r="L5" s="188"/>
    </row>
    <row r="6" spans="2:19" ht="15.75" thickBot="1" x14ac:dyDescent="0.3">
      <c r="B6" s="183"/>
      <c r="C6" s="185"/>
      <c r="D6" s="70" t="s">
        <v>67</v>
      </c>
      <c r="E6" s="71" t="s">
        <v>68</v>
      </c>
      <c r="F6" s="72" t="s">
        <v>69</v>
      </c>
      <c r="G6" s="70" t="s">
        <v>67</v>
      </c>
      <c r="H6" s="71" t="s">
        <v>68</v>
      </c>
      <c r="I6" s="72" t="s">
        <v>69</v>
      </c>
      <c r="J6" s="70" t="s">
        <v>67</v>
      </c>
      <c r="K6" s="71" t="s">
        <v>68</v>
      </c>
      <c r="L6" s="72" t="s">
        <v>69</v>
      </c>
      <c r="M6">
        <v>2002</v>
      </c>
      <c r="O6" s="189" t="s">
        <v>81</v>
      </c>
      <c r="P6" s="189"/>
      <c r="Q6" s="189"/>
      <c r="R6" s="189"/>
      <c r="S6" s="189"/>
    </row>
    <row r="7" spans="2:19" x14ac:dyDescent="0.25">
      <c r="B7" s="179" t="s">
        <v>70</v>
      </c>
      <c r="C7" s="73" t="s">
        <v>71</v>
      </c>
      <c r="D7" s="74">
        <v>1464</v>
      </c>
      <c r="E7" s="74">
        <v>750</v>
      </c>
      <c r="F7" s="74">
        <v>714</v>
      </c>
      <c r="G7" s="74">
        <v>1254</v>
      </c>
      <c r="H7" s="74">
        <v>616</v>
      </c>
      <c r="I7" s="74">
        <v>638</v>
      </c>
      <c r="J7" s="74">
        <v>2155</v>
      </c>
      <c r="K7" s="74">
        <v>1085</v>
      </c>
      <c r="L7" s="75">
        <v>1070</v>
      </c>
      <c r="M7" s="76">
        <f t="shared" ref="M7:M12" si="0">K7/L7*100</f>
        <v>101.4018691588785</v>
      </c>
      <c r="O7" s="189"/>
      <c r="P7" s="189"/>
      <c r="Q7" s="189"/>
      <c r="R7" s="189"/>
      <c r="S7" s="189"/>
    </row>
    <row r="8" spans="2:19" x14ac:dyDescent="0.25">
      <c r="B8" s="180"/>
      <c r="C8" s="60" t="s">
        <v>6</v>
      </c>
      <c r="D8" s="77">
        <v>377</v>
      </c>
      <c r="E8" s="77">
        <v>198</v>
      </c>
      <c r="F8" s="77">
        <v>179</v>
      </c>
      <c r="G8" s="77">
        <v>639</v>
      </c>
      <c r="H8" s="77">
        <v>347</v>
      </c>
      <c r="I8" s="77">
        <v>292</v>
      </c>
      <c r="J8" s="77">
        <v>1190</v>
      </c>
      <c r="K8" s="77">
        <v>622</v>
      </c>
      <c r="L8" s="78">
        <v>568</v>
      </c>
      <c r="M8" s="76">
        <f t="shared" si="0"/>
        <v>109.50704225352112</v>
      </c>
      <c r="O8" s="190"/>
      <c r="P8" s="190"/>
      <c r="Q8" s="190"/>
      <c r="R8" s="190"/>
      <c r="S8" s="190"/>
    </row>
    <row r="9" spans="2:19" x14ac:dyDescent="0.25">
      <c r="B9" s="180"/>
      <c r="C9" s="60" t="s">
        <v>72</v>
      </c>
      <c r="D9" s="77">
        <v>4500</v>
      </c>
      <c r="E9" s="77">
        <v>2358</v>
      </c>
      <c r="F9" s="77">
        <v>2142</v>
      </c>
      <c r="G9" s="77">
        <v>6918</v>
      </c>
      <c r="H9" s="77">
        <v>3587</v>
      </c>
      <c r="I9" s="77">
        <v>3331</v>
      </c>
      <c r="J9" s="77">
        <v>13430</v>
      </c>
      <c r="K9" s="77">
        <v>6992</v>
      </c>
      <c r="L9" s="78">
        <v>6438</v>
      </c>
      <c r="M9" s="76">
        <f t="shared" si="0"/>
        <v>108.60515688101896</v>
      </c>
      <c r="O9" s="61" t="s">
        <v>57</v>
      </c>
      <c r="P9" s="61" t="s">
        <v>27</v>
      </c>
      <c r="Q9" s="61" t="s">
        <v>58</v>
      </c>
      <c r="R9" s="61" t="s">
        <v>45</v>
      </c>
      <c r="S9" s="61" t="s">
        <v>59</v>
      </c>
    </row>
    <row r="10" spans="2:19" x14ac:dyDescent="0.25">
      <c r="B10" s="180"/>
      <c r="C10" s="60" t="s">
        <v>73</v>
      </c>
      <c r="D10" s="77">
        <v>2460</v>
      </c>
      <c r="E10" s="77">
        <v>1339</v>
      </c>
      <c r="F10" s="77">
        <v>1121</v>
      </c>
      <c r="G10" s="77">
        <v>4744</v>
      </c>
      <c r="H10" s="77">
        <v>2466</v>
      </c>
      <c r="I10" s="77">
        <v>2278</v>
      </c>
      <c r="J10" s="77">
        <v>14324</v>
      </c>
      <c r="K10" s="77">
        <v>7490</v>
      </c>
      <c r="L10" s="78">
        <v>6834</v>
      </c>
      <c r="M10" s="76">
        <f t="shared" si="0"/>
        <v>109.59906350599941</v>
      </c>
      <c r="O10" s="1" t="s">
        <v>1</v>
      </c>
      <c r="P10" s="33">
        <v>21422</v>
      </c>
      <c r="Q10" s="1">
        <v>10676</v>
      </c>
      <c r="R10" s="1">
        <v>9870</v>
      </c>
      <c r="S10" s="62">
        <f>Q10/R10*100</f>
        <v>108.1661600810537</v>
      </c>
    </row>
    <row r="11" spans="2:19" x14ac:dyDescent="0.25">
      <c r="B11" s="180"/>
      <c r="C11" s="60" t="s">
        <v>74</v>
      </c>
      <c r="D11" s="77">
        <v>4986</v>
      </c>
      <c r="E11" s="77">
        <v>2586</v>
      </c>
      <c r="F11" s="77">
        <v>2400</v>
      </c>
      <c r="G11" s="77">
        <v>8026</v>
      </c>
      <c r="H11" s="77">
        <v>4138</v>
      </c>
      <c r="I11" s="77">
        <v>3888</v>
      </c>
      <c r="J11" s="77">
        <v>13132</v>
      </c>
      <c r="K11" s="77">
        <v>6697</v>
      </c>
      <c r="L11" s="78">
        <v>6435</v>
      </c>
      <c r="M11" s="76">
        <f t="shared" si="0"/>
        <v>104.07148407148408</v>
      </c>
      <c r="O11" s="3" t="s">
        <v>2</v>
      </c>
      <c r="P11" s="34">
        <v>17697</v>
      </c>
      <c r="Q11" s="3">
        <v>9296</v>
      </c>
      <c r="R11" s="63">
        <v>8625</v>
      </c>
      <c r="S11" s="64">
        <f t="shared" ref="S11:S16" si="1">Q11/R11*100</f>
        <v>107.77971014492753</v>
      </c>
    </row>
    <row r="12" spans="2:19" ht="15.75" thickBot="1" x14ac:dyDescent="0.3">
      <c r="B12" s="181"/>
      <c r="C12" s="79" t="s">
        <v>75</v>
      </c>
      <c r="D12" s="80">
        <v>1024</v>
      </c>
      <c r="E12" s="80">
        <v>508</v>
      </c>
      <c r="F12" s="80">
        <v>516</v>
      </c>
      <c r="G12" s="80">
        <v>1827</v>
      </c>
      <c r="H12" s="80">
        <v>946</v>
      </c>
      <c r="I12" s="80">
        <v>881</v>
      </c>
      <c r="J12" s="80">
        <v>1984</v>
      </c>
      <c r="K12" s="80">
        <v>1027</v>
      </c>
      <c r="L12" s="81">
        <v>957</v>
      </c>
      <c r="M12" s="76">
        <f t="shared" si="0"/>
        <v>107.31452455590387</v>
      </c>
      <c r="O12" s="3" t="s">
        <v>3</v>
      </c>
      <c r="P12" s="34">
        <v>15097</v>
      </c>
      <c r="Q12" s="3">
        <v>7834</v>
      </c>
      <c r="R12" s="3">
        <v>7660</v>
      </c>
      <c r="S12" s="64">
        <f t="shared" si="1"/>
        <v>102.27154046997389</v>
      </c>
    </row>
    <row r="13" spans="2:19" ht="15.75" thickBot="1" x14ac:dyDescent="0.3">
      <c r="B13" s="83"/>
      <c r="C13" s="82" t="s">
        <v>76</v>
      </c>
      <c r="D13" s="84">
        <f t="shared" ref="D13:L13" si="2">SUM(D7:D12)</f>
        <v>14811</v>
      </c>
      <c r="E13" s="84">
        <f t="shared" si="2"/>
        <v>7739</v>
      </c>
      <c r="F13" s="84">
        <f t="shared" si="2"/>
        <v>7072</v>
      </c>
      <c r="G13" s="84">
        <f t="shared" si="2"/>
        <v>23408</v>
      </c>
      <c r="H13" s="84">
        <f t="shared" si="2"/>
        <v>12100</v>
      </c>
      <c r="I13" s="84">
        <f t="shared" si="2"/>
        <v>11308</v>
      </c>
      <c r="J13" s="84">
        <f t="shared" si="2"/>
        <v>46215</v>
      </c>
      <c r="K13" s="84">
        <f t="shared" si="2"/>
        <v>23913</v>
      </c>
      <c r="L13" s="85">
        <f t="shared" si="2"/>
        <v>22302</v>
      </c>
      <c r="O13" s="3" t="s">
        <v>4</v>
      </c>
      <c r="P13" s="34">
        <v>2393</v>
      </c>
      <c r="Q13" s="3">
        <v>1254</v>
      </c>
      <c r="R13" s="3">
        <v>1216</v>
      </c>
      <c r="S13" s="64">
        <f t="shared" si="1"/>
        <v>103.125</v>
      </c>
    </row>
    <row r="14" spans="2:19" x14ac:dyDescent="0.25">
      <c r="B14" s="59" t="s">
        <v>77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O14" s="3" t="s">
        <v>5</v>
      </c>
      <c r="P14" s="34">
        <v>2379</v>
      </c>
      <c r="Q14" s="3">
        <v>1828</v>
      </c>
      <c r="R14" s="3">
        <v>1759</v>
      </c>
      <c r="S14" s="64">
        <f t="shared" si="1"/>
        <v>103.92268334280841</v>
      </c>
    </row>
    <row r="15" spans="2:19" x14ac:dyDescent="0.25">
      <c r="B15" s="59" t="s">
        <v>78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O15" s="5" t="s">
        <v>6</v>
      </c>
      <c r="P15" s="35">
        <v>1942</v>
      </c>
      <c r="Q15" s="5">
        <v>1001</v>
      </c>
      <c r="R15" s="5">
        <v>883</v>
      </c>
      <c r="S15" s="65">
        <f t="shared" si="1"/>
        <v>113.36353340883352</v>
      </c>
    </row>
    <row r="16" spans="2:19" x14ac:dyDescent="0.25">
      <c r="B16" s="59" t="s">
        <v>79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O16" s="13" t="s">
        <v>27</v>
      </c>
      <c r="P16" s="66">
        <v>60930</v>
      </c>
      <c r="Q16" s="47">
        <f>SUM(Q10:Q15)</f>
        <v>31889</v>
      </c>
      <c r="R16" s="47">
        <f>SUM(R10:R15)</f>
        <v>30013</v>
      </c>
      <c r="S16" s="67">
        <f t="shared" si="1"/>
        <v>106.25062472928397</v>
      </c>
    </row>
    <row r="17" spans="2:19" x14ac:dyDescent="0.25">
      <c r="B17" s="59" t="s">
        <v>80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O17" s="159" t="s">
        <v>8</v>
      </c>
      <c r="P17" s="159"/>
      <c r="Q17" s="159"/>
      <c r="R17" s="159"/>
      <c r="S17" s="159"/>
    </row>
    <row r="18" spans="2:19" x14ac:dyDescent="0.25">
      <c r="O18" s="159"/>
      <c r="P18" s="159"/>
      <c r="Q18" s="159"/>
      <c r="R18" s="159"/>
      <c r="S18" s="159"/>
    </row>
  </sheetData>
  <mergeCells count="8">
    <mergeCell ref="B7:B12"/>
    <mergeCell ref="O17:S18"/>
    <mergeCell ref="B5:B6"/>
    <mergeCell ref="C5:C6"/>
    <mergeCell ref="D5:F5"/>
    <mergeCell ref="G5:I5"/>
    <mergeCell ref="J5:L5"/>
    <mergeCell ref="O6:S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workbookViewId="0">
      <selection activeCell="C18" sqref="C18"/>
    </sheetView>
  </sheetViews>
  <sheetFormatPr defaultRowHeight="15" x14ac:dyDescent="0.25"/>
  <cols>
    <col min="3" max="3" width="14" customWidth="1"/>
    <col min="4" max="4" width="23.140625" customWidth="1"/>
    <col min="5" max="5" width="11.5703125" customWidth="1"/>
    <col min="6" max="6" width="10.42578125" customWidth="1"/>
    <col min="7" max="7" width="12.7109375" customWidth="1"/>
  </cols>
  <sheetData>
    <row r="2" spans="3:7" x14ac:dyDescent="0.25">
      <c r="C2" s="217" t="s">
        <v>160</v>
      </c>
      <c r="D2" s="217"/>
      <c r="E2" s="217"/>
      <c r="F2" s="217"/>
      <c r="G2" s="217"/>
    </row>
    <row r="3" spans="3:7" x14ac:dyDescent="0.25">
      <c r="C3" s="217"/>
      <c r="D3" s="217"/>
      <c r="E3" s="217"/>
      <c r="F3" s="217"/>
      <c r="G3" s="217"/>
    </row>
    <row r="4" spans="3:7" x14ac:dyDescent="0.25">
      <c r="C4" s="218" t="s">
        <v>154</v>
      </c>
      <c r="D4" s="218" t="s">
        <v>162</v>
      </c>
      <c r="E4" s="219" t="s">
        <v>163</v>
      </c>
      <c r="F4" s="220"/>
      <c r="G4" s="221"/>
    </row>
    <row r="5" spans="3:7" x14ac:dyDescent="0.25">
      <c r="C5" s="222"/>
      <c r="D5" s="222"/>
      <c r="E5" s="223" t="s">
        <v>27</v>
      </c>
      <c r="F5" s="224" t="s">
        <v>34</v>
      </c>
      <c r="G5" s="224" t="s">
        <v>35</v>
      </c>
    </row>
    <row r="6" spans="3:7" x14ac:dyDescent="0.25">
      <c r="C6" s="225" t="s">
        <v>155</v>
      </c>
      <c r="D6" s="226">
        <v>2373</v>
      </c>
      <c r="E6" s="226">
        <v>9075</v>
      </c>
      <c r="F6" s="226">
        <v>4764</v>
      </c>
      <c r="G6" s="226">
        <v>4311</v>
      </c>
    </row>
    <row r="7" spans="3:7" x14ac:dyDescent="0.25">
      <c r="C7" s="227" t="s">
        <v>156</v>
      </c>
      <c r="D7" s="228">
        <v>844</v>
      </c>
      <c r="E7" s="228">
        <v>3694</v>
      </c>
      <c r="F7" s="228">
        <v>1897</v>
      </c>
      <c r="G7" s="228">
        <v>1797</v>
      </c>
    </row>
    <row r="8" spans="3:7" x14ac:dyDescent="0.25">
      <c r="C8" s="229" t="s">
        <v>157</v>
      </c>
      <c r="D8" s="228">
        <v>344</v>
      </c>
      <c r="E8" s="228">
        <v>1231</v>
      </c>
      <c r="F8" s="228">
        <v>633</v>
      </c>
      <c r="G8" s="228">
        <v>598</v>
      </c>
    </row>
    <row r="9" spans="3:7" x14ac:dyDescent="0.25">
      <c r="C9" s="229" t="s">
        <v>158</v>
      </c>
      <c r="D9" s="228">
        <v>641</v>
      </c>
      <c r="E9" s="228">
        <v>2234</v>
      </c>
      <c r="F9" s="228">
        <v>1166</v>
      </c>
      <c r="G9" s="228">
        <v>1068</v>
      </c>
    </row>
    <row r="10" spans="3:7" x14ac:dyDescent="0.25">
      <c r="C10" s="230" t="s">
        <v>159</v>
      </c>
      <c r="D10" s="231">
        <v>738</v>
      </c>
      <c r="E10" s="231">
        <v>2641</v>
      </c>
      <c r="F10" s="231">
        <v>1398</v>
      </c>
      <c r="G10" s="231">
        <v>1243</v>
      </c>
    </row>
    <row r="11" spans="3:7" x14ac:dyDescent="0.25">
      <c r="C11" s="232" t="s">
        <v>27</v>
      </c>
      <c r="D11" s="233">
        <f>SUM(D6:D10)</f>
        <v>4940</v>
      </c>
      <c r="E11" s="233">
        <f>SUM(E6:E10)</f>
        <v>18875</v>
      </c>
      <c r="F11" s="233">
        <f>SUM(F6:F10)</f>
        <v>9858</v>
      </c>
      <c r="G11" s="233">
        <f>SUM(G6:G10)</f>
        <v>9017</v>
      </c>
    </row>
    <row r="12" spans="3:7" x14ac:dyDescent="0.25">
      <c r="C12" s="234" t="s">
        <v>161</v>
      </c>
      <c r="D12" s="234"/>
      <c r="E12" s="234"/>
      <c r="F12" s="234"/>
      <c r="G12" s="234"/>
    </row>
  </sheetData>
  <mergeCells count="5">
    <mergeCell ref="C4:C5"/>
    <mergeCell ref="D4:D5"/>
    <mergeCell ref="E4:G4"/>
    <mergeCell ref="C12:G12"/>
    <mergeCell ref="C2:G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20"/>
  <sheetViews>
    <sheetView topLeftCell="A2" zoomScaleNormal="100" workbookViewId="0">
      <selection activeCell="B6" sqref="B6"/>
    </sheetView>
  </sheetViews>
  <sheetFormatPr defaultRowHeight="15" x14ac:dyDescent="0.25"/>
  <cols>
    <col min="2" max="2" width="13" customWidth="1"/>
    <col min="3" max="3" width="6.7109375" customWidth="1"/>
    <col min="4" max="4" width="11.140625" customWidth="1"/>
    <col min="5" max="5" width="9.5703125" bestFit="1" customWidth="1"/>
    <col min="6" max="6" width="7.42578125" customWidth="1"/>
    <col min="7" max="7" width="7.5703125" customWidth="1"/>
    <col min="8" max="8" width="7.85546875" customWidth="1"/>
    <col min="9" max="9" width="4.42578125" customWidth="1"/>
    <col min="10" max="10" width="7.85546875" customWidth="1"/>
    <col min="11" max="11" width="7.7109375" customWidth="1"/>
    <col min="12" max="12" width="7.5703125" customWidth="1"/>
    <col min="13" max="13" width="7.85546875" customWidth="1"/>
    <col min="14" max="15" width="5" customWidth="1"/>
    <col min="16" max="16" width="7.7109375" customWidth="1"/>
    <col min="17" max="17" width="5.7109375" customWidth="1"/>
    <col min="18" max="18" width="4.5703125" customWidth="1"/>
    <col min="19" max="19" width="7.85546875" customWidth="1"/>
    <col min="20" max="21" width="6.28515625" customWidth="1"/>
    <col min="22" max="22" width="9" customWidth="1"/>
  </cols>
  <sheetData>
    <row r="2" spans="3:22" x14ac:dyDescent="0.25">
      <c r="C2" s="235" t="s">
        <v>224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</row>
    <row r="3" spans="3:22" x14ac:dyDescent="0.25">
      <c r="C3" s="236" t="s">
        <v>42</v>
      </c>
      <c r="D3" s="236" t="s">
        <v>10</v>
      </c>
      <c r="E3" s="237" t="s">
        <v>178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8" t="s">
        <v>164</v>
      </c>
      <c r="V3" s="238" t="s">
        <v>165</v>
      </c>
    </row>
    <row r="4" spans="3:22" ht="65.25" x14ac:dyDescent="0.25">
      <c r="C4" s="237"/>
      <c r="D4" s="237"/>
      <c r="E4" s="239" t="s">
        <v>27</v>
      </c>
      <c r="F4" s="239" t="s">
        <v>166</v>
      </c>
      <c r="G4" s="239" t="s">
        <v>167</v>
      </c>
      <c r="H4" s="239" t="s">
        <v>168</v>
      </c>
      <c r="I4" s="239" t="s">
        <v>169</v>
      </c>
      <c r="J4" s="239" t="s">
        <v>157</v>
      </c>
      <c r="K4" s="239" t="s">
        <v>155</v>
      </c>
      <c r="L4" s="239" t="s">
        <v>170</v>
      </c>
      <c r="M4" s="239" t="s">
        <v>158</v>
      </c>
      <c r="N4" s="239" t="s">
        <v>171</v>
      </c>
      <c r="O4" s="239" t="s">
        <v>172</v>
      </c>
      <c r="P4" s="239" t="s">
        <v>159</v>
      </c>
      <c r="Q4" s="239" t="s">
        <v>173</v>
      </c>
      <c r="R4" s="239" t="s">
        <v>174</v>
      </c>
      <c r="S4" s="239" t="s">
        <v>175</v>
      </c>
      <c r="T4" s="239" t="s">
        <v>176</v>
      </c>
      <c r="U4" s="240"/>
      <c r="V4" s="240"/>
    </row>
    <row r="5" spans="3:22" x14ac:dyDescent="0.25">
      <c r="C5" s="246" t="s">
        <v>27</v>
      </c>
      <c r="D5" s="241">
        <v>20546</v>
      </c>
      <c r="E5" s="241">
        <v>20067</v>
      </c>
      <c r="F5" s="241">
        <v>27</v>
      </c>
      <c r="G5" s="241">
        <v>1142</v>
      </c>
      <c r="H5" s="241">
        <v>1420</v>
      </c>
      <c r="I5" s="241">
        <v>2</v>
      </c>
      <c r="J5" s="241">
        <v>1250</v>
      </c>
      <c r="K5" s="241">
        <v>8300</v>
      </c>
      <c r="L5" s="241">
        <v>3126</v>
      </c>
      <c r="M5" s="241">
        <v>2189</v>
      </c>
      <c r="N5" s="241">
        <v>11</v>
      </c>
      <c r="O5" s="241">
        <v>4</v>
      </c>
      <c r="P5" s="241">
        <v>1000</v>
      </c>
      <c r="Q5" s="241">
        <v>54</v>
      </c>
      <c r="R5" s="241">
        <v>8</v>
      </c>
      <c r="S5" s="241">
        <v>1367</v>
      </c>
      <c r="T5" s="241">
        <v>167</v>
      </c>
      <c r="U5" s="241">
        <v>21</v>
      </c>
      <c r="V5" s="241">
        <v>458</v>
      </c>
    </row>
    <row r="6" spans="3:22" ht="26.25" x14ac:dyDescent="0.25">
      <c r="C6" s="247" t="s">
        <v>177</v>
      </c>
      <c r="D6" s="243">
        <v>4124</v>
      </c>
      <c r="E6" s="243">
        <v>4032</v>
      </c>
      <c r="F6" s="243">
        <v>6</v>
      </c>
      <c r="G6" s="243">
        <v>223</v>
      </c>
      <c r="H6" s="243">
        <v>260</v>
      </c>
      <c r="I6" s="243" t="s">
        <v>21</v>
      </c>
      <c r="J6" s="243">
        <v>238</v>
      </c>
      <c r="K6" s="243">
        <v>1749</v>
      </c>
      <c r="L6" s="243">
        <v>630</v>
      </c>
      <c r="M6" s="243">
        <v>408</v>
      </c>
      <c r="N6" s="243" t="s">
        <v>21</v>
      </c>
      <c r="O6" s="243" t="s">
        <v>21</v>
      </c>
      <c r="P6" s="243">
        <v>174</v>
      </c>
      <c r="Q6" s="243">
        <v>35</v>
      </c>
      <c r="R6" s="243">
        <v>1</v>
      </c>
      <c r="S6" s="243">
        <v>300</v>
      </c>
      <c r="T6" s="243">
        <v>8</v>
      </c>
      <c r="U6" s="243">
        <v>2</v>
      </c>
      <c r="V6" s="243">
        <v>90</v>
      </c>
    </row>
    <row r="7" spans="3:22" ht="26.25" x14ac:dyDescent="0.25">
      <c r="C7" s="247" t="s">
        <v>179</v>
      </c>
      <c r="D7" s="243">
        <v>3522</v>
      </c>
      <c r="E7" s="243">
        <v>3451</v>
      </c>
      <c r="F7" s="243">
        <v>8</v>
      </c>
      <c r="G7" s="243">
        <v>207</v>
      </c>
      <c r="H7" s="243">
        <v>234</v>
      </c>
      <c r="I7" s="243" t="s">
        <v>21</v>
      </c>
      <c r="J7" s="243">
        <v>199</v>
      </c>
      <c r="K7" s="243">
        <v>1518</v>
      </c>
      <c r="L7" s="243">
        <v>525</v>
      </c>
      <c r="M7" s="243">
        <v>354</v>
      </c>
      <c r="N7" s="243" t="s">
        <v>21</v>
      </c>
      <c r="O7" s="243" t="s">
        <v>21</v>
      </c>
      <c r="P7" s="243">
        <v>151</v>
      </c>
      <c r="Q7" s="243">
        <v>11</v>
      </c>
      <c r="R7" s="243">
        <v>2</v>
      </c>
      <c r="S7" s="243">
        <v>226</v>
      </c>
      <c r="T7" s="243">
        <v>16</v>
      </c>
      <c r="U7" s="243">
        <v>1</v>
      </c>
      <c r="V7" s="243">
        <v>70</v>
      </c>
    </row>
    <row r="8" spans="3:22" ht="26.25" x14ac:dyDescent="0.25">
      <c r="C8" s="247" t="s">
        <v>141</v>
      </c>
      <c r="D8" s="243">
        <v>2874</v>
      </c>
      <c r="E8" s="243">
        <v>2802</v>
      </c>
      <c r="F8" s="243">
        <v>8</v>
      </c>
      <c r="G8" s="243">
        <v>159</v>
      </c>
      <c r="H8" s="243">
        <v>212</v>
      </c>
      <c r="I8" s="243" t="s">
        <v>21</v>
      </c>
      <c r="J8" s="243">
        <v>183</v>
      </c>
      <c r="K8" s="243">
        <v>1141</v>
      </c>
      <c r="L8" s="243">
        <v>438</v>
      </c>
      <c r="M8" s="243">
        <v>348</v>
      </c>
      <c r="N8" s="243" t="s">
        <v>21</v>
      </c>
      <c r="O8" s="243">
        <v>2</v>
      </c>
      <c r="P8" s="243">
        <v>114</v>
      </c>
      <c r="Q8" s="243">
        <v>7</v>
      </c>
      <c r="R8" s="243">
        <v>1</v>
      </c>
      <c r="S8" s="243">
        <v>175</v>
      </c>
      <c r="T8" s="243">
        <v>14</v>
      </c>
      <c r="U8" s="243">
        <v>1</v>
      </c>
      <c r="V8" s="243">
        <v>71</v>
      </c>
    </row>
    <row r="9" spans="3:22" ht="26.25" x14ac:dyDescent="0.25">
      <c r="C9" s="247" t="s">
        <v>142</v>
      </c>
      <c r="D9" s="243">
        <v>2408</v>
      </c>
      <c r="E9" s="243">
        <v>2356</v>
      </c>
      <c r="F9" s="243">
        <v>4</v>
      </c>
      <c r="G9" s="243">
        <v>123</v>
      </c>
      <c r="H9" s="243">
        <v>171</v>
      </c>
      <c r="I9" s="243" t="s">
        <v>21</v>
      </c>
      <c r="J9" s="243">
        <v>153</v>
      </c>
      <c r="K9" s="243">
        <v>982</v>
      </c>
      <c r="L9" s="243">
        <v>372</v>
      </c>
      <c r="M9" s="243">
        <v>253</v>
      </c>
      <c r="N9" s="243" t="s">
        <v>21</v>
      </c>
      <c r="O9" s="243">
        <v>1</v>
      </c>
      <c r="P9" s="243">
        <v>97</v>
      </c>
      <c r="Q9" s="243" t="s">
        <v>21</v>
      </c>
      <c r="R9" s="243" t="s">
        <v>21</v>
      </c>
      <c r="S9" s="243">
        <v>173</v>
      </c>
      <c r="T9" s="243">
        <v>27</v>
      </c>
      <c r="U9" s="243">
        <v>3</v>
      </c>
      <c r="V9" s="243">
        <v>49</v>
      </c>
    </row>
    <row r="10" spans="3:22" ht="26.25" x14ac:dyDescent="0.25">
      <c r="C10" s="247" t="s">
        <v>143</v>
      </c>
      <c r="D10" s="243">
        <v>1825</v>
      </c>
      <c r="E10" s="243">
        <v>1789</v>
      </c>
      <c r="F10" s="243" t="s">
        <v>21</v>
      </c>
      <c r="G10" s="243">
        <v>91</v>
      </c>
      <c r="H10" s="243">
        <v>146</v>
      </c>
      <c r="I10" s="243">
        <v>1</v>
      </c>
      <c r="J10" s="243">
        <v>126</v>
      </c>
      <c r="K10" s="243">
        <v>713</v>
      </c>
      <c r="L10" s="243">
        <v>290</v>
      </c>
      <c r="M10" s="243">
        <v>172</v>
      </c>
      <c r="N10" s="243">
        <v>1</v>
      </c>
      <c r="O10" s="243" t="s">
        <v>21</v>
      </c>
      <c r="P10" s="243">
        <v>95</v>
      </c>
      <c r="Q10" s="243" t="s">
        <v>21</v>
      </c>
      <c r="R10" s="243" t="s">
        <v>21</v>
      </c>
      <c r="S10" s="243">
        <v>134</v>
      </c>
      <c r="T10" s="243">
        <v>20</v>
      </c>
      <c r="U10" s="243">
        <v>1</v>
      </c>
      <c r="V10" s="243">
        <v>35</v>
      </c>
    </row>
    <row r="11" spans="3:22" ht="26.25" x14ac:dyDescent="0.25">
      <c r="C11" s="247" t="s">
        <v>144</v>
      </c>
      <c r="D11" s="243">
        <v>1282</v>
      </c>
      <c r="E11" s="243">
        <v>1245</v>
      </c>
      <c r="F11" s="243" t="s">
        <v>21</v>
      </c>
      <c r="G11" s="243">
        <v>79</v>
      </c>
      <c r="H11" s="243">
        <v>82</v>
      </c>
      <c r="I11" s="243" t="s">
        <v>21</v>
      </c>
      <c r="J11" s="243">
        <v>70</v>
      </c>
      <c r="K11" s="243">
        <v>496</v>
      </c>
      <c r="L11" s="243">
        <v>199</v>
      </c>
      <c r="M11" s="243">
        <v>144</v>
      </c>
      <c r="N11" s="243" t="s">
        <v>21</v>
      </c>
      <c r="O11" s="243">
        <v>1</v>
      </c>
      <c r="P11" s="243">
        <v>67</v>
      </c>
      <c r="Q11" s="243" t="s">
        <v>21</v>
      </c>
      <c r="R11" s="243" t="s">
        <v>21</v>
      </c>
      <c r="S11" s="243">
        <v>94</v>
      </c>
      <c r="T11" s="243">
        <v>13</v>
      </c>
      <c r="U11" s="243" t="s">
        <v>21</v>
      </c>
      <c r="V11" s="243">
        <v>37</v>
      </c>
    </row>
    <row r="12" spans="3:22" ht="26.25" x14ac:dyDescent="0.25">
      <c r="C12" s="247" t="s">
        <v>145</v>
      </c>
      <c r="D12" s="243">
        <v>1008</v>
      </c>
      <c r="E12" s="243">
        <v>984</v>
      </c>
      <c r="F12" s="243" t="s">
        <v>21</v>
      </c>
      <c r="G12" s="243">
        <v>61</v>
      </c>
      <c r="H12" s="243">
        <v>68</v>
      </c>
      <c r="I12" s="243" t="s">
        <v>21</v>
      </c>
      <c r="J12" s="243">
        <v>62</v>
      </c>
      <c r="K12" s="243">
        <v>395</v>
      </c>
      <c r="L12" s="243">
        <v>163</v>
      </c>
      <c r="M12" s="243">
        <v>95</v>
      </c>
      <c r="N12" s="243" t="s">
        <v>21</v>
      </c>
      <c r="O12" s="243" t="s">
        <v>21</v>
      </c>
      <c r="P12" s="243">
        <v>57</v>
      </c>
      <c r="Q12" s="243">
        <v>1</v>
      </c>
      <c r="R12" s="243">
        <v>1</v>
      </c>
      <c r="S12" s="243">
        <v>67</v>
      </c>
      <c r="T12" s="243">
        <v>14</v>
      </c>
      <c r="U12" s="243" t="s">
        <v>21</v>
      </c>
      <c r="V12" s="243">
        <v>24</v>
      </c>
    </row>
    <row r="13" spans="3:22" ht="26.25" x14ac:dyDescent="0.25">
      <c r="C13" s="247" t="s">
        <v>146</v>
      </c>
      <c r="D13" s="243">
        <v>829</v>
      </c>
      <c r="E13" s="243">
        <v>809</v>
      </c>
      <c r="F13" s="243" t="s">
        <v>21</v>
      </c>
      <c r="G13" s="243">
        <v>35</v>
      </c>
      <c r="H13" s="243">
        <v>55</v>
      </c>
      <c r="I13" s="243" t="s">
        <v>21</v>
      </c>
      <c r="J13" s="243">
        <v>46</v>
      </c>
      <c r="K13" s="243">
        <v>334</v>
      </c>
      <c r="L13" s="243">
        <v>123</v>
      </c>
      <c r="M13" s="243">
        <v>107</v>
      </c>
      <c r="N13" s="243">
        <v>3</v>
      </c>
      <c r="O13" s="243" t="s">
        <v>21</v>
      </c>
      <c r="P13" s="243">
        <v>52</v>
      </c>
      <c r="Q13" s="243" t="s">
        <v>21</v>
      </c>
      <c r="R13" s="243">
        <v>1</v>
      </c>
      <c r="S13" s="243">
        <v>43</v>
      </c>
      <c r="T13" s="243">
        <v>10</v>
      </c>
      <c r="U13" s="243">
        <v>2</v>
      </c>
      <c r="V13" s="243">
        <v>18</v>
      </c>
    </row>
    <row r="14" spans="3:22" ht="26.25" x14ac:dyDescent="0.25">
      <c r="C14" s="247" t="s">
        <v>147</v>
      </c>
      <c r="D14" s="243">
        <v>617</v>
      </c>
      <c r="E14" s="243">
        <v>599</v>
      </c>
      <c r="F14" s="243" t="s">
        <v>21</v>
      </c>
      <c r="G14" s="243">
        <v>38</v>
      </c>
      <c r="H14" s="243">
        <v>47</v>
      </c>
      <c r="I14" s="243" t="s">
        <v>21</v>
      </c>
      <c r="J14" s="243">
        <v>39</v>
      </c>
      <c r="K14" s="243">
        <v>218</v>
      </c>
      <c r="L14" s="243">
        <v>90</v>
      </c>
      <c r="M14" s="243">
        <v>79</v>
      </c>
      <c r="N14" s="243">
        <v>1</v>
      </c>
      <c r="O14" s="243" t="s">
        <v>21</v>
      </c>
      <c r="P14" s="243">
        <v>35</v>
      </c>
      <c r="Q14" s="243" t="s">
        <v>21</v>
      </c>
      <c r="R14" s="243">
        <v>1</v>
      </c>
      <c r="S14" s="243">
        <v>39</v>
      </c>
      <c r="T14" s="243">
        <v>12</v>
      </c>
      <c r="U14" s="243">
        <v>1</v>
      </c>
      <c r="V14" s="243">
        <v>17</v>
      </c>
    </row>
    <row r="15" spans="3:22" ht="26.25" x14ac:dyDescent="0.25">
      <c r="C15" s="247" t="s">
        <v>148</v>
      </c>
      <c r="D15" s="243">
        <v>493</v>
      </c>
      <c r="E15" s="243">
        <v>481</v>
      </c>
      <c r="F15" s="243" t="s">
        <v>21</v>
      </c>
      <c r="G15" s="243">
        <v>30</v>
      </c>
      <c r="H15" s="243">
        <v>35</v>
      </c>
      <c r="I15" s="243" t="s">
        <v>21</v>
      </c>
      <c r="J15" s="243">
        <v>28</v>
      </c>
      <c r="K15" s="243">
        <v>198</v>
      </c>
      <c r="L15" s="243">
        <v>61</v>
      </c>
      <c r="M15" s="243">
        <v>57</v>
      </c>
      <c r="N15" s="243">
        <v>3</v>
      </c>
      <c r="O15" s="243" t="s">
        <v>21</v>
      </c>
      <c r="P15" s="243">
        <v>31</v>
      </c>
      <c r="Q15" s="243" t="s">
        <v>21</v>
      </c>
      <c r="R15" s="243" t="s">
        <v>21</v>
      </c>
      <c r="S15" s="243">
        <v>27</v>
      </c>
      <c r="T15" s="243">
        <v>11</v>
      </c>
      <c r="U15" s="243" t="s">
        <v>21</v>
      </c>
      <c r="V15" s="243">
        <v>12</v>
      </c>
    </row>
    <row r="16" spans="3:22" ht="26.25" x14ac:dyDescent="0.25">
      <c r="C16" s="247" t="s">
        <v>149</v>
      </c>
      <c r="D16" s="243">
        <v>423</v>
      </c>
      <c r="E16" s="243">
        <v>414</v>
      </c>
      <c r="F16" s="243" t="s">
        <v>21</v>
      </c>
      <c r="G16" s="243">
        <v>31</v>
      </c>
      <c r="H16" s="243">
        <v>30</v>
      </c>
      <c r="I16" s="243">
        <v>1</v>
      </c>
      <c r="J16" s="243">
        <v>20</v>
      </c>
      <c r="K16" s="243">
        <v>151</v>
      </c>
      <c r="L16" s="243">
        <v>61</v>
      </c>
      <c r="M16" s="243">
        <v>57</v>
      </c>
      <c r="N16" s="243">
        <v>1</v>
      </c>
      <c r="O16" s="243" t="s">
        <v>21</v>
      </c>
      <c r="P16" s="243">
        <v>30</v>
      </c>
      <c r="Q16" s="243" t="s">
        <v>21</v>
      </c>
      <c r="R16" s="243" t="s">
        <v>21</v>
      </c>
      <c r="S16" s="243">
        <v>30</v>
      </c>
      <c r="T16" s="243">
        <v>2</v>
      </c>
      <c r="U16" s="243">
        <v>2</v>
      </c>
      <c r="V16" s="243">
        <v>7</v>
      </c>
    </row>
    <row r="17" spans="3:22" ht="26.25" x14ac:dyDescent="0.25">
      <c r="C17" s="247" t="s">
        <v>150</v>
      </c>
      <c r="D17" s="243">
        <v>283</v>
      </c>
      <c r="E17" s="243">
        <v>274</v>
      </c>
      <c r="F17" s="243" t="s">
        <v>21</v>
      </c>
      <c r="G17" s="243">
        <v>18</v>
      </c>
      <c r="H17" s="243">
        <v>23</v>
      </c>
      <c r="I17" s="243" t="s">
        <v>21</v>
      </c>
      <c r="J17" s="243">
        <v>21</v>
      </c>
      <c r="K17" s="243">
        <v>100</v>
      </c>
      <c r="L17" s="243">
        <v>45</v>
      </c>
      <c r="M17" s="243">
        <v>22</v>
      </c>
      <c r="N17" s="243">
        <v>1</v>
      </c>
      <c r="O17" s="243" t="s">
        <v>21</v>
      </c>
      <c r="P17" s="243">
        <v>21</v>
      </c>
      <c r="Q17" s="243" t="s">
        <v>21</v>
      </c>
      <c r="R17" s="243" t="s">
        <v>21</v>
      </c>
      <c r="S17" s="243">
        <v>20</v>
      </c>
      <c r="T17" s="243">
        <v>3</v>
      </c>
      <c r="U17" s="243">
        <v>2</v>
      </c>
      <c r="V17" s="243">
        <v>7</v>
      </c>
    </row>
    <row r="18" spans="3:22" ht="26.25" x14ac:dyDescent="0.25">
      <c r="C18" s="247" t="s">
        <v>151</v>
      </c>
      <c r="D18" s="243">
        <v>283</v>
      </c>
      <c r="E18" s="243">
        <v>278</v>
      </c>
      <c r="F18" s="243">
        <v>1</v>
      </c>
      <c r="G18" s="243">
        <v>20</v>
      </c>
      <c r="H18" s="243">
        <v>18</v>
      </c>
      <c r="I18" s="243" t="s">
        <v>21</v>
      </c>
      <c r="J18" s="243">
        <v>18</v>
      </c>
      <c r="K18" s="243">
        <v>107</v>
      </c>
      <c r="L18" s="243">
        <v>43</v>
      </c>
      <c r="M18" s="243">
        <v>31</v>
      </c>
      <c r="N18" s="243" t="s">
        <v>21</v>
      </c>
      <c r="O18" s="243" t="s">
        <v>21</v>
      </c>
      <c r="P18" s="243">
        <v>17</v>
      </c>
      <c r="Q18" s="243" t="s">
        <v>21</v>
      </c>
      <c r="R18" s="243">
        <v>1</v>
      </c>
      <c r="S18" s="243">
        <v>21</v>
      </c>
      <c r="T18" s="243">
        <v>1</v>
      </c>
      <c r="U18" s="243" t="s">
        <v>21</v>
      </c>
      <c r="V18" s="243">
        <v>5</v>
      </c>
    </row>
    <row r="19" spans="3:22" ht="26.25" x14ac:dyDescent="0.25">
      <c r="C19" s="248" t="s">
        <v>180</v>
      </c>
      <c r="D19" s="244">
        <v>575</v>
      </c>
      <c r="E19" s="244">
        <v>553</v>
      </c>
      <c r="F19" s="244" t="s">
        <v>21</v>
      </c>
      <c r="G19" s="244">
        <v>27</v>
      </c>
      <c r="H19" s="244">
        <v>39</v>
      </c>
      <c r="I19" s="244" t="s">
        <v>21</v>
      </c>
      <c r="J19" s="244">
        <v>47</v>
      </c>
      <c r="K19" s="244">
        <v>198</v>
      </c>
      <c r="L19" s="244">
        <v>86</v>
      </c>
      <c r="M19" s="244">
        <v>62</v>
      </c>
      <c r="N19" s="244">
        <v>1</v>
      </c>
      <c r="O19" s="244" t="s">
        <v>21</v>
      </c>
      <c r="P19" s="244">
        <v>59</v>
      </c>
      <c r="Q19" s="244" t="s">
        <v>21</v>
      </c>
      <c r="R19" s="244" t="s">
        <v>21</v>
      </c>
      <c r="S19" s="244">
        <v>18</v>
      </c>
      <c r="T19" s="244">
        <v>16</v>
      </c>
      <c r="U19" s="244">
        <v>6</v>
      </c>
      <c r="V19" s="244">
        <v>16</v>
      </c>
    </row>
    <row r="20" spans="3:22" x14ac:dyDescent="0.25">
      <c r="C20" s="245" t="s">
        <v>161</v>
      </c>
      <c r="D20" s="245"/>
      <c r="E20" s="245"/>
      <c r="F20" s="245"/>
      <c r="G20" s="245"/>
      <c r="H20" s="245"/>
      <c r="I20" s="245"/>
      <c r="J20" s="245"/>
      <c r="K20" s="245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</row>
  </sheetData>
  <mergeCells count="7">
    <mergeCell ref="C2:V2"/>
    <mergeCell ref="C3:C4"/>
    <mergeCell ref="D3:D4"/>
    <mergeCell ref="E3:T3"/>
    <mergeCell ref="U3:U4"/>
    <mergeCell ref="V3:V4"/>
    <mergeCell ref="C20:K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tabela 1</vt:lpstr>
      <vt:lpstr>tabela 2</vt:lpstr>
      <vt:lpstr>tabela 3</vt:lpstr>
      <vt:lpstr>tabela 4</vt:lpstr>
      <vt:lpstr>tabela 5</vt:lpstr>
      <vt:lpstr>tabelas 6 a 11</vt:lpstr>
      <vt:lpstr>grafico 1 e 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grafico 2</vt:lpstr>
      <vt:lpstr>tabelas 23 a 25</vt:lpstr>
      <vt:lpstr>tabela 26</vt:lpstr>
      <vt:lpstr>graficos 3</vt:lpstr>
      <vt:lpstr>grafico 4</vt:lpstr>
      <vt:lpstr>grafico 5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FILIAL 141</dc:creator>
  <cp:lastModifiedBy>FILIAL 141</cp:lastModifiedBy>
  <dcterms:created xsi:type="dcterms:W3CDTF">2016-07-12T12:58:22Z</dcterms:created>
  <dcterms:modified xsi:type="dcterms:W3CDTF">2016-07-13T14:17:53Z</dcterms:modified>
</cp:coreProperties>
</file>